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270" windowWidth="9930" windowHeight="8700" activeTab="0"/>
  </bookViews>
  <sheets>
    <sheet name="BCA" sheetId="1" r:id="rId1"/>
  </sheets>
  <definedNames>
    <definedName name="BCA">#REF!</definedName>
    <definedName name="Livabilty">#REF!</definedName>
    <definedName name="Print">#REF!</definedName>
    <definedName name="_xlnm.Print_Area" localSheetId="0">'BCA'!$B$2:$V$69</definedName>
    <definedName name="Print1">#REF!</definedName>
    <definedName name="Print2">#REF!</definedName>
    <definedName name="Repair">#REF!</definedName>
    <definedName name="User">#REF!</definedName>
  </definedNames>
  <calcPr fullCalcOnLoad="1"/>
</workbook>
</file>

<file path=xl/sharedStrings.xml><?xml version="1.0" encoding="utf-8"?>
<sst xmlns="http://schemas.openxmlformats.org/spreadsheetml/2006/main" count="43" uniqueCount="40">
  <si>
    <t>Costs</t>
  </si>
  <si>
    <t>Assumptions</t>
  </si>
  <si>
    <t>Discounted Benefits</t>
  </si>
  <si>
    <t>Discounted Costs</t>
  </si>
  <si>
    <t>Total Annual Costs</t>
  </si>
  <si>
    <t>PV @ 3%</t>
  </si>
  <si>
    <t>PV @ 7%</t>
  </si>
  <si>
    <t>Present Value Benefits</t>
  </si>
  <si>
    <t>Present Value Costs</t>
  </si>
  <si>
    <t>1. Discount Rates</t>
  </si>
  <si>
    <t>Calendar Year</t>
  </si>
  <si>
    <t>Project Year</t>
  </si>
  <si>
    <t>Construction Costs</t>
  </si>
  <si>
    <t>Annual Maintenance</t>
  </si>
  <si>
    <t>Carbon Dioxide Savings</t>
  </si>
  <si>
    <t>Benefit Cost Ratios</t>
  </si>
  <si>
    <t>PV@ 7%</t>
  </si>
  <si>
    <t>Net Carbon Emissions Savings (tons)</t>
  </si>
  <si>
    <t>Benefit Cost Analysis</t>
  </si>
  <si>
    <t>at 3%</t>
  </si>
  <si>
    <t>at 7%</t>
  </si>
  <si>
    <t>Annual Traffic (AADT)</t>
  </si>
  <si>
    <t>VOC &amp; NOx, &amp; Emissions Costs</t>
  </si>
  <si>
    <t>Total Annual Benefits</t>
  </si>
  <si>
    <r>
      <t>Annual VMT</t>
    </r>
    <r>
      <rPr>
        <b/>
        <vertAlign val="superscript"/>
        <sz val="12"/>
        <rFont val="Arial"/>
        <family val="2"/>
      </rPr>
      <t>2</t>
    </r>
  </si>
  <si>
    <r>
      <t>Annual VHT</t>
    </r>
    <r>
      <rPr>
        <b/>
        <vertAlign val="superscript"/>
        <sz val="12"/>
        <rFont val="Arial"/>
        <family val="2"/>
      </rPr>
      <t>2</t>
    </r>
  </si>
  <si>
    <r>
      <t>Carbon Value (per ton 2007$)</t>
    </r>
    <r>
      <rPr>
        <b/>
        <vertAlign val="superscript"/>
        <sz val="12"/>
        <rFont val="Arial"/>
        <family val="2"/>
      </rPr>
      <t>3</t>
    </r>
  </si>
  <si>
    <r>
      <t>Crash Costs</t>
    </r>
    <r>
      <rPr>
        <b/>
        <vertAlign val="superscript"/>
        <sz val="12"/>
        <rFont val="Arial"/>
        <family val="2"/>
      </rPr>
      <t>5</t>
    </r>
  </si>
  <si>
    <r>
      <t>Annualized Maintenance Costs</t>
    </r>
    <r>
      <rPr>
        <b/>
        <vertAlign val="superscript"/>
        <sz val="12"/>
        <rFont val="Arial"/>
        <family val="2"/>
      </rPr>
      <t>6</t>
    </r>
  </si>
  <si>
    <t>Project Description: Replacement of Mexico- Peru Bridge over the Androscoggin River</t>
  </si>
  <si>
    <t>Mexico-Peru Bridge Replacement</t>
  </si>
  <si>
    <t>2. See Impact of Peru_ Bridge_closure.xls, tab "Benefit".</t>
  </si>
  <si>
    <t>5. Crash costs estimated at $0.10 per VMT, a value that was derived from Maine crash history.</t>
  </si>
  <si>
    <t>Conforming to TIGER VI Requirements</t>
  </si>
  <si>
    <t xml:space="preserve">6. Historic maintenance costs used to estimate annual average M&amp;O. See spreadsheet Mexico-Peru Maintenance Costs.xlsx. </t>
  </si>
  <si>
    <t>3.Air emission factors were applied to VMT and estimated speeds to derive tons of emissions. Costs per ton based on TIGER guidance and EPA Social Cost of Carbon Guidance. http://www.dot.gov/TIGER. See Emission Reductions Mexico-Peru.xls.</t>
  </si>
  <si>
    <r>
      <t>User Cost Savings (Travel Time Savings, &amp; Avoided Delay)</t>
    </r>
    <r>
      <rPr>
        <b/>
        <vertAlign val="superscript"/>
        <sz val="12"/>
        <rFont val="Arial"/>
        <family val="2"/>
      </rPr>
      <t>4</t>
    </r>
  </si>
  <si>
    <t xml:space="preserve">7. Minor rehabilitation (year 25) and major rehabilitation (year 50) are based upon the life-cycle cost analysis. See spreadsheet Copy of  18498 00 Peru-Mexico Tiger Grant Cost Estimates R2 .xlsx. </t>
  </si>
  <si>
    <t>Carbon Value (per ton 2015$)</t>
  </si>
  <si>
    <t>4. VMT and VHT valued at $0.32 per VMT and $14.30 per VHT, based on ratio of heavy trucks to automobile traffic. See spreadsheet referenced in Assumption Note 2 above, at tab "Time line", columnG for derivationof thesecosts. Also spreadsheet CPI and SCC April 18.xlsx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</si>
</sst>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&quot;$&quot;#,##0"/>
    <numFmt numFmtId="166" formatCode="#,##0.0"/>
    <numFmt numFmtId="167" formatCode="0.0"/>
    <numFmt numFmtId="168" formatCode="m/d/yy;@"/>
  </numFmts>
  <fonts count="53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color indexed="10"/>
      <name val="Arial"/>
      <family val="2"/>
    </font>
    <font>
      <b/>
      <vertAlign val="superscript"/>
      <sz val="12"/>
      <name val="Arial"/>
      <family val="2"/>
    </font>
    <font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0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1"/>
      <color rgb="FF1F497D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 applyProtection="1">
      <alignment horizontal="left" vertical="top" wrapText="1"/>
      <protection locked="0"/>
    </xf>
    <xf numFmtId="6" fontId="3" fillId="0" borderId="12" xfId="0" applyNumberFormat="1" applyFont="1" applyBorder="1" applyAlignment="1" quotePrefix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8" fontId="3" fillId="0" borderId="0" xfId="0" applyNumberFormat="1" applyFont="1" applyAlignment="1">
      <alignment/>
    </xf>
    <xf numFmtId="0" fontId="3" fillId="0" borderId="0" xfId="0" applyFont="1" applyBorder="1" applyAlignment="1" quotePrefix="1">
      <alignment horizontal="center"/>
    </xf>
    <xf numFmtId="6" fontId="3" fillId="0" borderId="13" xfId="0" applyNumberFormat="1" applyFont="1" applyBorder="1" applyAlignment="1" quotePrefix="1">
      <alignment horizontal="center"/>
    </xf>
    <xf numFmtId="6" fontId="3" fillId="0" borderId="12" xfId="0" applyNumberFormat="1" applyFont="1" applyBorder="1" applyAlignment="1">
      <alignment/>
    </xf>
    <xf numFmtId="6" fontId="5" fillId="33" borderId="14" xfId="44" applyNumberFormat="1" applyFont="1" applyFill="1" applyBorder="1" applyAlignment="1">
      <alignment horizontal="right"/>
    </xf>
    <xf numFmtId="6" fontId="5" fillId="33" borderId="15" xfId="44" applyNumberFormat="1" applyFont="1" applyFill="1" applyBorder="1" applyAlignment="1">
      <alignment horizontal="right"/>
    </xf>
    <xf numFmtId="6" fontId="5" fillId="33" borderId="16" xfId="44" applyNumberFormat="1" applyFont="1" applyFill="1" applyBorder="1" applyAlignment="1">
      <alignment horizontal="right"/>
    </xf>
    <xf numFmtId="49" fontId="9" fillId="33" borderId="13" xfId="0" applyNumberFormat="1" applyFont="1" applyFill="1" applyBorder="1" applyAlignment="1">
      <alignment horizontal="left"/>
    </xf>
    <xf numFmtId="49" fontId="9" fillId="33" borderId="17" xfId="0" applyNumberFormat="1" applyFont="1" applyFill="1" applyBorder="1" applyAlignment="1">
      <alignment horizontal="left"/>
    </xf>
    <xf numFmtId="49" fontId="9" fillId="33" borderId="0" xfId="0" applyNumberFormat="1" applyFont="1" applyFill="1" applyBorder="1" applyAlignment="1">
      <alignment horizontal="left"/>
    </xf>
    <xf numFmtId="49" fontId="9" fillId="33" borderId="18" xfId="0" applyNumberFormat="1" applyFont="1" applyFill="1" applyBorder="1" applyAlignment="1">
      <alignment horizontal="left"/>
    </xf>
    <xf numFmtId="49" fontId="9" fillId="33" borderId="19" xfId="0" applyNumberFormat="1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33" borderId="12" xfId="0" applyFont="1" applyFill="1" applyBorder="1" applyAlignment="1">
      <alignment/>
    </xf>
    <xf numFmtId="6" fontId="5" fillId="33" borderId="12" xfId="44" applyNumberFormat="1" applyFont="1" applyFill="1" applyBorder="1" applyAlignment="1">
      <alignment horizontal="right"/>
    </xf>
    <xf numFmtId="3" fontId="3" fillId="0" borderId="20" xfId="44" applyNumberFormat="1" applyFont="1" applyFill="1" applyBorder="1" applyAlignment="1">
      <alignment horizontal="center"/>
    </xf>
    <xf numFmtId="3" fontId="3" fillId="0" borderId="0" xfId="44" applyNumberFormat="1" applyFont="1" applyFill="1" applyBorder="1" applyAlignment="1">
      <alignment horizontal="center"/>
    </xf>
    <xf numFmtId="0" fontId="3" fillId="0" borderId="12" xfId="0" applyFont="1" applyBorder="1" applyAlignment="1">
      <alignment/>
    </xf>
    <xf numFmtId="1" fontId="3" fillId="0" borderId="12" xfId="44" applyNumberFormat="1" applyFont="1" applyFill="1" applyBorder="1" applyAlignment="1">
      <alignment horizontal="center"/>
    </xf>
    <xf numFmtId="1" fontId="3" fillId="0" borderId="0" xfId="44" applyNumberFormat="1" applyFont="1" applyFill="1" applyBorder="1" applyAlignment="1">
      <alignment horizontal="center"/>
    </xf>
    <xf numFmtId="0" fontId="3" fillId="0" borderId="14" xfId="0" applyFont="1" applyBorder="1" applyAlignment="1">
      <alignment/>
    </xf>
    <xf numFmtId="6" fontId="7" fillId="0" borderId="0" xfId="0" applyNumberFormat="1" applyFont="1" applyAlignment="1" quotePrefix="1">
      <alignment/>
    </xf>
    <xf numFmtId="0" fontId="0" fillId="0" borderId="10" xfId="0" applyBorder="1" applyAlignment="1">
      <alignment/>
    </xf>
    <xf numFmtId="6" fontId="7" fillId="0" borderId="18" xfId="0" applyNumberFormat="1" applyFont="1" applyBorder="1" applyAlignment="1" quotePrefix="1">
      <alignment/>
    </xf>
    <xf numFmtId="0" fontId="4" fillId="0" borderId="10" xfId="0" applyFont="1" applyBorder="1" applyAlignment="1">
      <alignment horizontal="center"/>
    </xf>
    <xf numFmtId="164" fontId="6" fillId="0" borderId="0" xfId="0" applyNumberFormat="1" applyFont="1" applyBorder="1" applyAlignment="1" quotePrefix="1">
      <alignment/>
    </xf>
    <xf numFmtId="0" fontId="3" fillId="0" borderId="18" xfId="0" applyFont="1" applyBorder="1" applyAlignment="1" quotePrefix="1">
      <alignment horizontal="center"/>
    </xf>
    <xf numFmtId="49" fontId="8" fillId="33" borderId="0" xfId="0" applyNumberFormat="1" applyFont="1" applyFill="1" applyBorder="1" applyAlignment="1">
      <alignment horizontal="left"/>
    </xf>
    <xf numFmtId="8" fontId="3" fillId="0" borderId="0" xfId="0" applyNumberFormat="1" applyFont="1" applyBorder="1" applyAlignment="1">
      <alignment/>
    </xf>
    <xf numFmtId="6" fontId="3" fillId="0" borderId="0" xfId="0" applyNumberFormat="1" applyFont="1" applyBorder="1" applyAlignment="1" quotePrefix="1">
      <alignment horizontal="center"/>
    </xf>
    <xf numFmtId="49" fontId="8" fillId="33" borderId="17" xfId="0" applyNumberFormat="1" applyFont="1" applyFill="1" applyBorder="1" applyAlignment="1">
      <alignment horizontal="left"/>
    </xf>
    <xf numFmtId="49" fontId="8" fillId="33" borderId="21" xfId="0" applyNumberFormat="1" applyFont="1" applyFill="1" applyBorder="1" applyAlignment="1">
      <alignment horizontal="left"/>
    </xf>
    <xf numFmtId="10" fontId="3" fillId="0" borderId="17" xfId="0" applyNumberFormat="1" applyFont="1" applyBorder="1" applyAlignment="1">
      <alignment/>
    </xf>
    <xf numFmtId="49" fontId="9" fillId="33" borderId="10" xfId="0" applyNumberFormat="1" applyFont="1" applyFill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13" xfId="0" applyFont="1" applyBorder="1" applyAlignment="1">
      <alignment/>
    </xf>
    <xf numFmtId="0" fontId="13" fillId="0" borderId="0" xfId="0" applyFont="1" applyAlignment="1">
      <alignment/>
    </xf>
    <xf numFmtId="168" fontId="1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0" fontId="3" fillId="0" borderId="0" xfId="0" applyNumberFormat="1" applyFont="1" applyBorder="1" applyAlignment="1">
      <alignment/>
    </xf>
    <xf numFmtId="0" fontId="3" fillId="0" borderId="18" xfId="0" applyFont="1" applyBorder="1" applyAlignment="1">
      <alignment/>
    </xf>
    <xf numFmtId="10" fontId="3" fillId="0" borderId="10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6" xfId="0" applyFont="1" applyBorder="1" applyAlignment="1">
      <alignment/>
    </xf>
    <xf numFmtId="8" fontId="3" fillId="0" borderId="23" xfId="0" applyNumberFormat="1" applyFont="1" applyBorder="1" applyAlignment="1">
      <alignment/>
    </xf>
    <xf numFmtId="8" fontId="3" fillId="0" borderId="24" xfId="0" applyNumberFormat="1" applyFont="1" applyBorder="1" applyAlignment="1">
      <alignment/>
    </xf>
    <xf numFmtId="6" fontId="3" fillId="0" borderId="14" xfId="0" applyNumberFormat="1" applyFont="1" applyBorder="1" applyAlignment="1">
      <alignment/>
    </xf>
    <xf numFmtId="167" fontId="4" fillId="0" borderId="20" xfId="0" applyNumberFormat="1" applyFont="1" applyBorder="1" applyAlignment="1">
      <alignment horizontal="center"/>
    </xf>
    <xf numFmtId="0" fontId="4" fillId="0" borderId="22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8" fontId="3" fillId="0" borderId="16" xfId="0" applyNumberFormat="1" applyFont="1" applyBorder="1" applyAlignment="1">
      <alignment/>
    </xf>
    <xf numFmtId="6" fontId="7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6" fontId="51" fillId="0" borderId="12" xfId="0" applyNumberFormat="1" applyFont="1" applyBorder="1" applyAlignment="1" quotePrefix="1">
      <alignment/>
    </xf>
    <xf numFmtId="0" fontId="4" fillId="0" borderId="25" xfId="0" applyFont="1" applyFill="1" applyBorder="1" applyAlignment="1">
      <alignment vertical="top" wrapText="1"/>
    </xf>
    <xf numFmtId="9" fontId="8" fillId="33" borderId="15" xfId="0" applyNumberFormat="1" applyFont="1" applyFill="1" applyBorder="1" applyAlignment="1">
      <alignment horizontal="left"/>
    </xf>
    <xf numFmtId="9" fontId="8" fillId="33" borderId="21" xfId="0" applyNumberFormat="1" applyFont="1" applyFill="1" applyBorder="1" applyAlignment="1">
      <alignment horizontal="left"/>
    </xf>
    <xf numFmtId="9" fontId="8" fillId="33" borderId="26" xfId="0" applyNumberFormat="1" applyFont="1" applyFill="1" applyBorder="1" applyAlignment="1">
      <alignment horizontal="left"/>
    </xf>
    <xf numFmtId="9" fontId="8" fillId="33" borderId="14" xfId="0" applyNumberFormat="1" applyFont="1" applyFill="1" applyBorder="1" applyAlignment="1">
      <alignment horizontal="left"/>
    </xf>
    <xf numFmtId="0" fontId="4" fillId="0" borderId="13" xfId="0" applyFont="1" applyBorder="1" applyAlignment="1">
      <alignment/>
    </xf>
    <xf numFmtId="165" fontId="3" fillId="33" borderId="12" xfId="0" applyNumberFormat="1" applyFont="1" applyFill="1" applyBorder="1" applyAlignment="1">
      <alignment/>
    </xf>
    <xf numFmtId="6" fontId="0" fillId="0" borderId="0" xfId="0" applyNumberFormat="1" applyBorder="1" applyAlignment="1">
      <alignment/>
    </xf>
    <xf numFmtId="0" fontId="52" fillId="0" borderId="0" xfId="0" applyFont="1" applyAlignment="1">
      <alignment vertical="center"/>
    </xf>
    <xf numFmtId="166" fontId="3" fillId="0" borderId="20" xfId="44" applyNumberFormat="1" applyFont="1" applyFill="1" applyBorder="1" applyAlignment="1">
      <alignment horizontal="center"/>
    </xf>
    <xf numFmtId="166" fontId="3" fillId="0" borderId="14" xfId="44" applyNumberFormat="1" applyFont="1" applyFill="1" applyBorder="1" applyAlignment="1">
      <alignment horizontal="center"/>
    </xf>
    <xf numFmtId="166" fontId="3" fillId="0" borderId="0" xfId="44" applyNumberFormat="1" applyFont="1" applyFill="1" applyBorder="1" applyAlignment="1">
      <alignment horizontal="center"/>
    </xf>
    <xf numFmtId="8" fontId="7" fillId="33" borderId="0" xfId="0" applyNumberFormat="1" applyFont="1" applyFill="1" applyBorder="1" applyAlignment="1">
      <alignment/>
    </xf>
    <xf numFmtId="6" fontId="4" fillId="0" borderId="10" xfId="0" applyNumberFormat="1" applyFont="1" applyBorder="1" applyAlignment="1">
      <alignment horizontal="center"/>
    </xf>
    <xf numFmtId="49" fontId="9" fillId="33" borderId="21" xfId="0" applyNumberFormat="1" applyFont="1" applyFill="1" applyBorder="1" applyAlignment="1">
      <alignment horizontal="left"/>
    </xf>
    <xf numFmtId="0" fontId="4" fillId="0" borderId="12" xfId="0" applyFont="1" applyBorder="1" applyAlignment="1">
      <alignment vertical="top" wrapText="1"/>
    </xf>
    <xf numFmtId="0" fontId="3" fillId="0" borderId="15" xfId="0" applyFont="1" applyBorder="1" applyAlignment="1">
      <alignment/>
    </xf>
    <xf numFmtId="49" fontId="8" fillId="33" borderId="12" xfId="0" applyNumberFormat="1" applyFont="1" applyFill="1" applyBorder="1" applyAlignment="1">
      <alignment horizontal="left"/>
    </xf>
    <xf numFmtId="49" fontId="9" fillId="33" borderId="20" xfId="0" applyNumberFormat="1" applyFont="1" applyFill="1" applyBorder="1" applyAlignment="1">
      <alignment horizontal="left"/>
    </xf>
    <xf numFmtId="3" fontId="3" fillId="0" borderId="0" xfId="44" applyNumberFormat="1" applyFont="1" applyFill="1" applyBorder="1" applyAlignment="1">
      <alignment horizontal="center"/>
    </xf>
    <xf numFmtId="0" fontId="4" fillId="0" borderId="23" xfId="0" applyFont="1" applyBorder="1" applyAlignment="1">
      <alignment vertical="top" wrapText="1"/>
    </xf>
    <xf numFmtId="3" fontId="3" fillId="0" borderId="12" xfId="44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11" fillId="0" borderId="15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21" xfId="0" applyFont="1" applyBorder="1" applyAlignment="1">
      <alignment/>
    </xf>
    <xf numFmtId="0" fontId="8" fillId="33" borderId="20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 wrapText="1"/>
    </xf>
    <xf numFmtId="0" fontId="8" fillId="33" borderId="20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V@%207%25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71"/>
  <sheetViews>
    <sheetView tabSelected="1" zoomScale="75" zoomScaleNormal="75" zoomScaleSheetLayoutView="75" zoomScalePageLayoutView="0" workbookViewId="0" topLeftCell="A1">
      <selection activeCell="B67" sqref="B67"/>
    </sheetView>
  </sheetViews>
  <sheetFormatPr defaultColWidth="16.7109375" defaultRowHeight="12.75"/>
  <cols>
    <col min="1" max="1" width="9.140625" style="1" customWidth="1"/>
    <col min="2" max="2" width="16.7109375" style="6" customWidth="1"/>
    <col min="3" max="3" width="11.7109375" style="1" customWidth="1"/>
    <col min="4" max="4" width="14.8515625" style="1" customWidth="1"/>
    <col min="5" max="6" width="14.28125" style="1" customWidth="1"/>
    <col min="7" max="7" width="15.140625" style="1" customWidth="1"/>
    <col min="8" max="8" width="11.57421875" style="1" customWidth="1"/>
    <col min="9" max="9" width="11.7109375" style="1" customWidth="1"/>
    <col min="10" max="10" width="19.28125" style="1" customWidth="1"/>
    <col min="11" max="11" width="18.00390625" style="1" customWidth="1"/>
    <col min="12" max="12" width="22.8515625" style="1" customWidth="1"/>
    <col min="13" max="13" width="22.421875" style="1" customWidth="1"/>
    <col min="14" max="15" width="22.8515625" style="1" customWidth="1"/>
    <col min="16" max="16" width="19.140625" style="1" customWidth="1"/>
    <col min="17" max="17" width="16.7109375" style="1" customWidth="1"/>
    <col min="18" max="18" width="20.28125" style="1" customWidth="1"/>
    <col min="19" max="19" width="19.7109375" style="1" customWidth="1"/>
    <col min="20" max="20" width="16.140625" style="1" customWidth="1"/>
    <col min="21" max="21" width="18.00390625" style="1" customWidth="1"/>
    <col min="22" max="22" width="17.7109375" style="1" customWidth="1"/>
    <col min="23" max="16384" width="16.7109375" style="1" customWidth="1"/>
  </cols>
  <sheetData>
    <row r="1" spans="3:10" ht="15">
      <c r="C1" s="6"/>
      <c r="D1" s="6"/>
      <c r="E1" s="6"/>
      <c r="F1" s="6"/>
      <c r="G1" s="6"/>
      <c r="H1" s="6"/>
      <c r="I1" s="6"/>
      <c r="J1" s="6"/>
    </row>
    <row r="2" spans="2:10" ht="24.75" customHeight="1">
      <c r="B2" s="86" t="s">
        <v>30</v>
      </c>
      <c r="C2" s="87"/>
      <c r="D2" s="87"/>
      <c r="E2" s="87"/>
      <c r="F2" s="87"/>
      <c r="G2" s="87"/>
      <c r="H2" s="87"/>
      <c r="I2" s="87"/>
      <c r="J2" s="88"/>
    </row>
    <row r="3" spans="2:10" ht="24.75" customHeight="1">
      <c r="B3" s="98" t="s">
        <v>18</v>
      </c>
      <c r="C3" s="99"/>
      <c r="D3" s="99"/>
      <c r="E3" s="99"/>
      <c r="F3" s="99"/>
      <c r="G3" s="99"/>
      <c r="H3" s="99"/>
      <c r="I3" s="99"/>
      <c r="J3" s="100"/>
    </row>
    <row r="4" spans="2:17" ht="24.75" customHeight="1">
      <c r="B4" s="89" t="s">
        <v>33</v>
      </c>
      <c r="C4" s="90"/>
      <c r="D4" s="90"/>
      <c r="E4" s="90"/>
      <c r="F4" s="90"/>
      <c r="G4" s="90"/>
      <c r="H4" s="90"/>
      <c r="I4" s="90"/>
      <c r="J4" s="91"/>
      <c r="L4" s="44"/>
      <c r="M4" s="44"/>
      <c r="N4" s="44"/>
      <c r="Q4" s="72"/>
    </row>
    <row r="5" spans="2:18" ht="24.75" customHeight="1">
      <c r="B5" s="69" t="s">
        <v>29</v>
      </c>
      <c r="C5" s="5"/>
      <c r="D5" s="5"/>
      <c r="E5" s="5"/>
      <c r="F5" s="5"/>
      <c r="G5" s="5"/>
      <c r="H5" s="5"/>
      <c r="I5" s="5"/>
      <c r="J5" s="60"/>
      <c r="L5" s="45"/>
      <c r="M5" s="45"/>
      <c r="N5" s="45"/>
      <c r="Q5" s="72"/>
      <c r="R5"/>
    </row>
    <row r="6" spans="2:15" ht="18" customHeight="1">
      <c r="B6" s="69"/>
      <c r="C6" s="61"/>
      <c r="D6" s="61"/>
      <c r="E6" s="61"/>
      <c r="F6" s="61"/>
      <c r="G6" s="61"/>
      <c r="H6" s="61"/>
      <c r="I6" s="61"/>
      <c r="J6" s="62"/>
      <c r="K6" s="5"/>
      <c r="L6" s="71"/>
      <c r="M6" s="5"/>
      <c r="N6" s="5"/>
      <c r="O6" s="5"/>
    </row>
    <row r="7" spans="2:22" ht="27" customHeight="1">
      <c r="B7" s="42"/>
      <c r="C7" s="2"/>
      <c r="D7" s="2"/>
      <c r="E7" s="2"/>
      <c r="F7" s="2"/>
      <c r="G7" s="2"/>
      <c r="H7" s="2"/>
      <c r="I7" s="2"/>
      <c r="J7" s="50"/>
      <c r="K7" s="2"/>
      <c r="L7" s="77"/>
      <c r="M7" s="32"/>
      <c r="N7" s="32"/>
      <c r="O7" s="30"/>
      <c r="P7" s="92" t="s">
        <v>2</v>
      </c>
      <c r="Q7" s="94"/>
      <c r="R7" s="96" t="s">
        <v>0</v>
      </c>
      <c r="S7" s="97"/>
      <c r="T7" s="93"/>
      <c r="U7" s="92" t="s">
        <v>3</v>
      </c>
      <c r="V7" s="94"/>
    </row>
    <row r="8" spans="2:22" ht="81" customHeight="1">
      <c r="B8" s="79" t="s">
        <v>10</v>
      </c>
      <c r="C8" s="79" t="s">
        <v>11</v>
      </c>
      <c r="D8" s="57" t="s">
        <v>21</v>
      </c>
      <c r="E8" s="84" t="s">
        <v>24</v>
      </c>
      <c r="F8" s="57" t="s">
        <v>25</v>
      </c>
      <c r="G8" s="57" t="s">
        <v>17</v>
      </c>
      <c r="H8" s="57" t="s">
        <v>26</v>
      </c>
      <c r="I8" s="57" t="s">
        <v>38</v>
      </c>
      <c r="J8" s="57" t="s">
        <v>14</v>
      </c>
      <c r="K8" s="57" t="s">
        <v>22</v>
      </c>
      <c r="L8" s="57" t="s">
        <v>36</v>
      </c>
      <c r="M8" s="56" t="s">
        <v>27</v>
      </c>
      <c r="N8" s="56" t="s">
        <v>28</v>
      </c>
      <c r="O8" s="64" t="s">
        <v>23</v>
      </c>
      <c r="P8" s="3" t="s">
        <v>5</v>
      </c>
      <c r="Q8" s="3" t="s">
        <v>6</v>
      </c>
      <c r="R8" s="3" t="s">
        <v>12</v>
      </c>
      <c r="S8" s="3" t="s">
        <v>13</v>
      </c>
      <c r="T8" s="3" t="s">
        <v>4</v>
      </c>
      <c r="U8" s="3" t="s">
        <v>5</v>
      </c>
      <c r="V8" s="3" t="s">
        <v>6</v>
      </c>
    </row>
    <row r="9" spans="2:22" ht="24.75" customHeight="1">
      <c r="B9" s="25">
        <v>2015</v>
      </c>
      <c r="C9" s="26">
        <v>1</v>
      </c>
      <c r="D9" s="23">
        <v>6494.5</v>
      </c>
      <c r="E9" s="23">
        <v>12385823.3125</v>
      </c>
      <c r="F9" s="85">
        <v>283980.95</v>
      </c>
      <c r="G9" s="23">
        <v>6949.68546064375</v>
      </c>
      <c r="H9" s="73">
        <v>38</v>
      </c>
      <c r="I9" s="74">
        <f>+H9*(236.29/201.34)</f>
        <v>44.596304758120596</v>
      </c>
      <c r="J9" s="70"/>
      <c r="K9" s="70"/>
      <c r="L9" s="70"/>
      <c r="M9" s="70"/>
      <c r="N9" s="70"/>
      <c r="O9" s="21"/>
      <c r="P9" s="12"/>
      <c r="Q9" s="12"/>
      <c r="R9" s="12">
        <v>12700000</v>
      </c>
      <c r="S9" s="4">
        <v>0</v>
      </c>
      <c r="T9" s="11">
        <f aca="true" t="shared" si="0" ref="T9:T29">SUM(R9:S9)</f>
        <v>12700000</v>
      </c>
      <c r="U9" s="12">
        <f aca="true" t="shared" si="1" ref="U9:U40">T9/(1+$D$63)^$C9</f>
        <v>12330097.08737864</v>
      </c>
      <c r="V9" s="13">
        <f aca="true" t="shared" si="2" ref="V9:V40">T9/(1+$G$63)^$C9</f>
        <v>11869158.878504673</v>
      </c>
    </row>
    <row r="10" spans="2:22" ht="24.75" customHeight="1">
      <c r="B10" s="80">
        <v>2016</v>
      </c>
      <c r="C10" s="27">
        <v>2</v>
      </c>
      <c r="D10" s="24">
        <v>6559</v>
      </c>
      <c r="E10" s="24">
        <v>12508832.875</v>
      </c>
      <c r="F10" s="83">
        <v>286829.5925</v>
      </c>
      <c r="G10" s="24">
        <v>7018.7061261625</v>
      </c>
      <c r="H10" s="75">
        <f>+H9+1*0.48</f>
        <v>38.48</v>
      </c>
      <c r="I10" s="75">
        <f>H10*(229.594/207.342)</f>
        <v>42.609684096806234</v>
      </c>
      <c r="J10" s="31">
        <f aca="true" t="shared" si="3" ref="J10:J29">G10*I10</f>
        <v>299064.8508041028</v>
      </c>
      <c r="K10" s="59">
        <v>7279.019072737499</v>
      </c>
      <c r="L10" s="59">
        <v>8071449.921493752</v>
      </c>
      <c r="M10" s="59">
        <v>1294213.884579</v>
      </c>
      <c r="N10" s="59">
        <v>1383</v>
      </c>
      <c r="O10" s="22">
        <f>SUM(J10:N10)</f>
        <v>9673390.675949592</v>
      </c>
      <c r="P10" s="12">
        <f aca="true" t="shared" si="4" ref="P10:P41">O10/(1+$D$63)^$C10</f>
        <v>9118098.478602689</v>
      </c>
      <c r="Q10" s="12">
        <f aca="true" t="shared" si="5" ref="Q10:Q41">O10/(1+$G$63)^$C10</f>
        <v>8449114.050091354</v>
      </c>
      <c r="R10" s="63"/>
      <c r="S10" s="4">
        <v>0</v>
      </c>
      <c r="T10" s="11">
        <f t="shared" si="0"/>
        <v>0</v>
      </c>
      <c r="U10" s="12">
        <f t="shared" si="1"/>
        <v>0</v>
      </c>
      <c r="V10" s="13">
        <f t="shared" si="2"/>
        <v>0</v>
      </c>
    </row>
    <row r="11" spans="2:22" ht="24.75" customHeight="1">
      <c r="B11" s="43">
        <v>2017</v>
      </c>
      <c r="C11" s="27">
        <v>3</v>
      </c>
      <c r="D11" s="24">
        <v>6623.5</v>
      </c>
      <c r="E11" s="24">
        <v>12631842.4375</v>
      </c>
      <c r="F11" s="83">
        <v>289678.235</v>
      </c>
      <c r="G11" s="24">
        <v>7087.726791681251</v>
      </c>
      <c r="H11" s="75">
        <f>+$H$10+0.5</f>
        <v>38.98</v>
      </c>
      <c r="I11" s="75">
        <f aca="true" t="shared" si="6" ref="I11:I58">H11*(229.594/207.342)</f>
        <v>43.16334423319925</v>
      </c>
      <c r="J11" s="31">
        <f t="shared" si="3"/>
        <v>305929.9913402067</v>
      </c>
      <c r="K11" s="29">
        <v>7352.035671523125</v>
      </c>
      <c r="L11" s="29">
        <v>8151611.3688625</v>
      </c>
      <c r="M11" s="29">
        <v>1306940.9459535</v>
      </c>
      <c r="N11" s="29">
        <f>N10</f>
        <v>1383</v>
      </c>
      <c r="O11" s="22">
        <f aca="true" t="shared" si="7" ref="O11:O41">SUM(J11:N11)</f>
        <v>9773217.34182773</v>
      </c>
      <c r="P11" s="12">
        <f t="shared" si="4"/>
        <v>8943878.335419305</v>
      </c>
      <c r="Q11" s="12">
        <f t="shared" si="5"/>
        <v>7977856.566526831</v>
      </c>
      <c r="R11" s="4"/>
      <c r="S11" s="4">
        <v>0</v>
      </c>
      <c r="T11" s="11">
        <f t="shared" si="0"/>
        <v>0</v>
      </c>
      <c r="U11" s="12">
        <f t="shared" si="1"/>
        <v>0</v>
      </c>
      <c r="V11" s="13">
        <f t="shared" si="2"/>
        <v>0</v>
      </c>
    </row>
    <row r="12" spans="2:22" ht="24.75" customHeight="1">
      <c r="B12" s="43">
        <v>2018</v>
      </c>
      <c r="C12" s="27">
        <v>4</v>
      </c>
      <c r="D12" s="24">
        <v>6688</v>
      </c>
      <c r="E12" s="24">
        <v>12754852</v>
      </c>
      <c r="F12" s="83">
        <v>292526.8775</v>
      </c>
      <c r="G12" s="24">
        <v>7156.747457200001</v>
      </c>
      <c r="H12" s="75">
        <f>+$H$10+(2*0.5)</f>
        <v>39.48</v>
      </c>
      <c r="I12" s="75">
        <f t="shared" si="6"/>
        <v>43.71700436959226</v>
      </c>
      <c r="J12" s="31">
        <f t="shared" si="3"/>
        <v>312871.55985848076</v>
      </c>
      <c r="K12" s="29">
        <v>7425.05227030875</v>
      </c>
      <c r="L12" s="29">
        <v>8231772.816231251</v>
      </c>
      <c r="M12" s="29">
        <v>1319668.007328</v>
      </c>
      <c r="N12" s="29">
        <f aca="true" t="shared" si="8" ref="N12:N58">N11</f>
        <v>1383</v>
      </c>
      <c r="O12" s="22">
        <f t="shared" si="7"/>
        <v>9873120.435688041</v>
      </c>
      <c r="P12" s="12">
        <f t="shared" si="4"/>
        <v>8772139.629620528</v>
      </c>
      <c r="Q12" s="12">
        <f t="shared" si="5"/>
        <v>7532156.308354983</v>
      </c>
      <c r="R12" s="4"/>
      <c r="S12" s="4">
        <v>0</v>
      </c>
      <c r="T12" s="11">
        <f t="shared" si="0"/>
        <v>0</v>
      </c>
      <c r="U12" s="12">
        <f t="shared" si="1"/>
        <v>0</v>
      </c>
      <c r="V12" s="13">
        <f t="shared" si="2"/>
        <v>0</v>
      </c>
    </row>
    <row r="13" spans="2:22" ht="24.75" customHeight="1">
      <c r="B13" s="43">
        <v>2019</v>
      </c>
      <c r="C13" s="27">
        <v>5</v>
      </c>
      <c r="D13" s="24">
        <v>6752.5</v>
      </c>
      <c r="E13" s="24">
        <v>12877861.5625</v>
      </c>
      <c r="F13" s="83">
        <v>295375.52</v>
      </c>
      <c r="G13" s="24">
        <v>7225.76812271875</v>
      </c>
      <c r="H13" s="75">
        <f>+$H$10+(3*0.5)</f>
        <v>39.98</v>
      </c>
      <c r="I13" s="75">
        <f t="shared" si="6"/>
        <v>44.27066450598527</v>
      </c>
      <c r="J13" s="31">
        <f t="shared" si="3"/>
        <v>319889.55635892483</v>
      </c>
      <c r="K13" s="29">
        <v>7498.068869094375</v>
      </c>
      <c r="L13" s="59">
        <v>8311934.263600001</v>
      </c>
      <c r="M13" s="59">
        <v>1332395.0687025</v>
      </c>
      <c r="N13" s="29">
        <f t="shared" si="8"/>
        <v>1383</v>
      </c>
      <c r="O13" s="22">
        <f t="shared" si="7"/>
        <v>9973099.95753052</v>
      </c>
      <c r="P13" s="12">
        <f t="shared" si="4"/>
        <v>8602883.630907161</v>
      </c>
      <c r="Q13" s="12">
        <f t="shared" si="5"/>
        <v>7110682.436328421</v>
      </c>
      <c r="R13" s="4"/>
      <c r="S13" s="4">
        <v>0</v>
      </c>
      <c r="T13" s="11">
        <f t="shared" si="0"/>
        <v>0</v>
      </c>
      <c r="U13" s="12">
        <f t="shared" si="1"/>
        <v>0</v>
      </c>
      <c r="V13" s="13">
        <f t="shared" si="2"/>
        <v>0</v>
      </c>
    </row>
    <row r="14" spans="2:22" ht="24.75" customHeight="1">
      <c r="B14" s="43">
        <v>2020</v>
      </c>
      <c r="C14" s="27">
        <v>6</v>
      </c>
      <c r="D14" s="24">
        <v>6817</v>
      </c>
      <c r="E14" s="24">
        <v>13000871.125</v>
      </c>
      <c r="F14" s="83">
        <v>298224.1625</v>
      </c>
      <c r="G14" s="24">
        <v>7294.7887882375</v>
      </c>
      <c r="H14" s="75">
        <f>+$H$10+(4*0.5)</f>
        <v>40.48</v>
      </c>
      <c r="I14" s="75">
        <f t="shared" si="6"/>
        <v>44.824324642378286</v>
      </c>
      <c r="J14" s="31">
        <f t="shared" si="3"/>
        <v>326983.980841539</v>
      </c>
      <c r="K14" s="29">
        <v>7571.085467880001</v>
      </c>
      <c r="L14" s="29">
        <v>8392095.71096875</v>
      </c>
      <c r="M14" s="29">
        <v>1345122.130077</v>
      </c>
      <c r="N14" s="29">
        <f t="shared" si="8"/>
        <v>1383</v>
      </c>
      <c r="O14" s="22">
        <f t="shared" si="7"/>
        <v>10073155.907355169</v>
      </c>
      <c r="P14" s="12">
        <f t="shared" si="4"/>
        <v>8436109.487529906</v>
      </c>
      <c r="Q14" s="12">
        <f t="shared" si="5"/>
        <v>6712169.108157483</v>
      </c>
      <c r="R14" s="4"/>
      <c r="S14" s="4">
        <v>0</v>
      </c>
      <c r="T14" s="11">
        <f t="shared" si="0"/>
        <v>0</v>
      </c>
      <c r="U14" s="12">
        <f t="shared" si="1"/>
        <v>0</v>
      </c>
      <c r="V14" s="13">
        <f t="shared" si="2"/>
        <v>0</v>
      </c>
    </row>
    <row r="15" spans="2:22" ht="24.75" customHeight="1">
      <c r="B15" s="43">
        <v>2021</v>
      </c>
      <c r="C15" s="27">
        <v>7</v>
      </c>
      <c r="D15" s="24">
        <v>6881.5</v>
      </c>
      <c r="E15" s="24">
        <v>13123880.6875</v>
      </c>
      <c r="F15" s="83">
        <v>301072.805</v>
      </c>
      <c r="G15" s="24">
        <v>7363.80945375625</v>
      </c>
      <c r="H15" s="75">
        <f>+$H$10+(5*0.5)</f>
        <v>40.98</v>
      </c>
      <c r="I15" s="75">
        <f t="shared" si="6"/>
        <v>45.3779847787713</v>
      </c>
      <c r="J15" s="31">
        <f t="shared" si="3"/>
        <v>334154.83330632333</v>
      </c>
      <c r="K15" s="29">
        <v>7644.102066665625</v>
      </c>
      <c r="L15" s="29">
        <v>8472257.1583375</v>
      </c>
      <c r="M15" s="29">
        <v>1357849.1914515</v>
      </c>
      <c r="N15" s="29">
        <f t="shared" si="8"/>
        <v>1383</v>
      </c>
      <c r="O15" s="22">
        <f t="shared" si="7"/>
        <v>10173288.285161989</v>
      </c>
      <c r="P15" s="12">
        <f t="shared" si="4"/>
        <v>8271814.347113997</v>
      </c>
      <c r="Q15" s="12">
        <f t="shared" si="5"/>
        <v>6335412.653702163</v>
      </c>
      <c r="R15" s="4"/>
      <c r="S15" s="4">
        <v>0</v>
      </c>
      <c r="T15" s="11">
        <f t="shared" si="0"/>
        <v>0</v>
      </c>
      <c r="U15" s="12">
        <f t="shared" si="1"/>
        <v>0</v>
      </c>
      <c r="V15" s="13">
        <f t="shared" si="2"/>
        <v>0</v>
      </c>
    </row>
    <row r="16" spans="2:22" ht="24.75" customHeight="1">
      <c r="B16" s="43">
        <v>2022</v>
      </c>
      <c r="C16" s="27">
        <v>8</v>
      </c>
      <c r="D16" s="24">
        <v>6946</v>
      </c>
      <c r="E16" s="24">
        <v>13246890.25</v>
      </c>
      <c r="F16" s="83">
        <v>303921.4475</v>
      </c>
      <c r="G16" s="24">
        <v>7432.8301192750005</v>
      </c>
      <c r="H16" s="75">
        <f>+$H$15+0.66</f>
        <v>41.63999999999999</v>
      </c>
      <c r="I16" s="75">
        <f t="shared" si="6"/>
        <v>46.10881615881007</v>
      </c>
      <c r="J16" s="31">
        <f t="shared" si="3"/>
        <v>342718.99750931736</v>
      </c>
      <c r="K16" s="29">
        <v>7717.118665451249</v>
      </c>
      <c r="L16" s="59">
        <v>8552418.60570625</v>
      </c>
      <c r="M16" s="59">
        <v>1370576.252826</v>
      </c>
      <c r="N16" s="29">
        <f t="shared" si="8"/>
        <v>1383</v>
      </c>
      <c r="O16" s="22">
        <f t="shared" si="7"/>
        <v>10274813.974707019</v>
      </c>
      <c r="P16" s="12">
        <f t="shared" si="4"/>
        <v>8111033.032491595</v>
      </c>
      <c r="Q16" s="12">
        <f t="shared" si="5"/>
        <v>5980035.280991576</v>
      </c>
      <c r="R16" s="4"/>
      <c r="S16" s="4">
        <v>0</v>
      </c>
      <c r="T16" s="11">
        <f t="shared" si="0"/>
        <v>0</v>
      </c>
      <c r="U16" s="12">
        <f t="shared" si="1"/>
        <v>0</v>
      </c>
      <c r="V16" s="13">
        <f t="shared" si="2"/>
        <v>0</v>
      </c>
    </row>
    <row r="17" spans="2:22" ht="24.75" customHeight="1">
      <c r="B17" s="43">
        <v>2023</v>
      </c>
      <c r="C17" s="27">
        <v>9</v>
      </c>
      <c r="D17" s="24">
        <v>7010.5</v>
      </c>
      <c r="E17" s="24">
        <v>13369899.8125</v>
      </c>
      <c r="F17" s="83">
        <v>306770.09</v>
      </c>
      <c r="G17" s="24">
        <v>7501.850784793751</v>
      </c>
      <c r="H17" s="75">
        <f>+$H$15+(2*0.66)</f>
        <v>42.3</v>
      </c>
      <c r="I17" s="75">
        <f t="shared" si="6"/>
        <v>46.83964753884885</v>
      </c>
      <c r="J17" s="31">
        <f t="shared" si="3"/>
        <v>351384.0466487759</v>
      </c>
      <c r="K17" s="29">
        <v>7790.135264236875</v>
      </c>
      <c r="L17" s="59">
        <v>8632580.053075</v>
      </c>
      <c r="M17" s="29">
        <v>1383303.3142005</v>
      </c>
      <c r="N17" s="29">
        <f t="shared" si="8"/>
        <v>1383</v>
      </c>
      <c r="O17" s="22">
        <f t="shared" si="7"/>
        <v>10376440.549188513</v>
      </c>
      <c r="P17" s="12">
        <f t="shared" si="4"/>
        <v>7952677.65906697</v>
      </c>
      <c r="Q17" s="12">
        <f t="shared" si="5"/>
        <v>5644096.14262202</v>
      </c>
      <c r="R17" s="4"/>
      <c r="S17" s="4">
        <v>0</v>
      </c>
      <c r="T17" s="11">
        <f t="shared" si="0"/>
        <v>0</v>
      </c>
      <c r="U17" s="12">
        <f t="shared" si="1"/>
        <v>0</v>
      </c>
      <c r="V17" s="13">
        <f t="shared" si="2"/>
        <v>0</v>
      </c>
    </row>
    <row r="18" spans="2:22" ht="24.75" customHeight="1">
      <c r="B18" s="43">
        <v>2024</v>
      </c>
      <c r="C18" s="27">
        <v>10</v>
      </c>
      <c r="D18" s="24">
        <v>7075</v>
      </c>
      <c r="E18" s="24">
        <v>13492909.375</v>
      </c>
      <c r="F18" s="83">
        <v>309618.7325</v>
      </c>
      <c r="G18" s="24">
        <v>7570.8714503125</v>
      </c>
      <c r="H18" s="75">
        <f>+$H$15+(3*0.66)</f>
        <v>42.959999999999994</v>
      </c>
      <c r="I18" s="75">
        <f t="shared" si="6"/>
        <v>47.57047891888762</v>
      </c>
      <c r="J18" s="31">
        <f t="shared" si="3"/>
        <v>360149.980724699</v>
      </c>
      <c r="K18" s="29">
        <v>7863.151863022501</v>
      </c>
      <c r="L18" s="29">
        <v>8712741.500443751</v>
      </c>
      <c r="M18" s="29">
        <v>1396030.375575</v>
      </c>
      <c r="N18" s="29">
        <f t="shared" si="8"/>
        <v>1383</v>
      </c>
      <c r="O18" s="22">
        <f t="shared" si="7"/>
        <v>10478168.008606473</v>
      </c>
      <c r="P18" s="12">
        <f t="shared" si="4"/>
        <v>7796741.054469613</v>
      </c>
      <c r="Q18" s="12">
        <f t="shared" si="5"/>
        <v>5326569.290043746</v>
      </c>
      <c r="R18" s="4"/>
      <c r="S18" s="4">
        <v>0</v>
      </c>
      <c r="T18" s="11">
        <f t="shared" si="0"/>
        <v>0</v>
      </c>
      <c r="U18" s="12">
        <f t="shared" si="1"/>
        <v>0</v>
      </c>
      <c r="V18" s="13">
        <f t="shared" si="2"/>
        <v>0</v>
      </c>
    </row>
    <row r="19" spans="2:22" ht="24.75" customHeight="1">
      <c r="B19" s="43">
        <v>2025</v>
      </c>
      <c r="C19" s="27">
        <v>11</v>
      </c>
      <c r="D19" s="24">
        <v>7139.5</v>
      </c>
      <c r="E19" s="24">
        <v>13615918.9375</v>
      </c>
      <c r="F19" s="83">
        <v>312467.375</v>
      </c>
      <c r="G19" s="24">
        <v>7639.8921158312505</v>
      </c>
      <c r="H19" s="75">
        <f>+$H$15+(4*0.66)</f>
        <v>43.62</v>
      </c>
      <c r="I19" s="75">
        <f t="shared" si="6"/>
        <v>48.3013102989264</v>
      </c>
      <c r="J19" s="31">
        <f t="shared" si="3"/>
        <v>369016.7997370866</v>
      </c>
      <c r="K19" s="29">
        <v>7936.168461808125</v>
      </c>
      <c r="L19" s="29">
        <v>8792902.9478125</v>
      </c>
      <c r="M19" s="59">
        <v>1408757.4369495</v>
      </c>
      <c r="N19" s="29">
        <f t="shared" si="8"/>
        <v>1383</v>
      </c>
      <c r="O19" s="22">
        <f t="shared" si="7"/>
        <v>10579996.352960896</v>
      </c>
      <c r="P19" s="12">
        <f t="shared" si="4"/>
        <v>7643214.47171626</v>
      </c>
      <c r="Q19" s="12">
        <f t="shared" si="5"/>
        <v>5026480.05309866</v>
      </c>
      <c r="R19" s="4"/>
      <c r="S19" s="4">
        <v>0</v>
      </c>
      <c r="T19" s="11">
        <f t="shared" si="0"/>
        <v>0</v>
      </c>
      <c r="U19" s="12">
        <f t="shared" si="1"/>
        <v>0</v>
      </c>
      <c r="V19" s="13">
        <f t="shared" si="2"/>
        <v>0</v>
      </c>
    </row>
    <row r="20" spans="2:22" ht="24.75" customHeight="1">
      <c r="B20" s="43">
        <v>2026</v>
      </c>
      <c r="C20" s="27">
        <v>12</v>
      </c>
      <c r="D20" s="24">
        <v>7204</v>
      </c>
      <c r="E20" s="24">
        <v>13738928.5</v>
      </c>
      <c r="F20" s="83">
        <v>315316.0175</v>
      </c>
      <c r="G20" s="24">
        <v>7708.91278135</v>
      </c>
      <c r="H20" s="75">
        <f>+$H$15+(5*0.66)</f>
        <v>44.279999999999994</v>
      </c>
      <c r="I20" s="75">
        <f t="shared" si="6"/>
        <v>49.03214167896518</v>
      </c>
      <c r="J20" s="31">
        <f t="shared" si="3"/>
        <v>377984.5036859387</v>
      </c>
      <c r="K20" s="29">
        <v>8009.185060593751</v>
      </c>
      <c r="L20" s="59">
        <v>8873064.39518125</v>
      </c>
      <c r="M20" s="29">
        <v>1421484.498324</v>
      </c>
      <c r="N20" s="29">
        <f t="shared" si="8"/>
        <v>1383</v>
      </c>
      <c r="O20" s="22">
        <f t="shared" si="7"/>
        <v>10681925.582251782</v>
      </c>
      <c r="P20" s="12">
        <f t="shared" si="4"/>
        <v>7492087.68511001</v>
      </c>
      <c r="Q20" s="12">
        <f t="shared" si="5"/>
        <v>4742902.7062393455</v>
      </c>
      <c r="R20" s="4"/>
      <c r="S20" s="4">
        <v>0</v>
      </c>
      <c r="T20" s="11">
        <f t="shared" si="0"/>
        <v>0</v>
      </c>
      <c r="U20" s="12">
        <f t="shared" si="1"/>
        <v>0</v>
      </c>
      <c r="V20" s="13">
        <f t="shared" si="2"/>
        <v>0</v>
      </c>
    </row>
    <row r="21" spans="2:22" ht="24.75" customHeight="1">
      <c r="B21" s="43">
        <v>2027</v>
      </c>
      <c r="C21" s="27">
        <v>13</v>
      </c>
      <c r="D21" s="24">
        <v>7268.5</v>
      </c>
      <c r="E21" s="24">
        <v>13861938.0625</v>
      </c>
      <c r="F21" s="83">
        <v>318164.66</v>
      </c>
      <c r="G21" s="24">
        <v>7777.93344686875</v>
      </c>
      <c r="H21" s="75">
        <f>+$H$20+0.64</f>
        <v>44.919999999999995</v>
      </c>
      <c r="I21" s="75">
        <f t="shared" si="6"/>
        <v>49.74082665354823</v>
      </c>
      <c r="J21" s="31">
        <f t="shared" si="3"/>
        <v>386880.83930353343</v>
      </c>
      <c r="K21" s="29">
        <v>8082.201659379376</v>
      </c>
      <c r="L21" s="29">
        <v>8953225.84255</v>
      </c>
      <c r="M21" s="29">
        <v>1434211.5596985</v>
      </c>
      <c r="N21" s="29">
        <f t="shared" si="8"/>
        <v>1383</v>
      </c>
      <c r="O21" s="22">
        <f t="shared" si="7"/>
        <v>10783783.443211412</v>
      </c>
      <c r="P21" s="12">
        <f t="shared" si="4"/>
        <v>7343231.785851057</v>
      </c>
      <c r="Q21" s="12">
        <f t="shared" si="5"/>
        <v>4474886.742661777</v>
      </c>
      <c r="R21" s="4"/>
      <c r="S21" s="4">
        <v>0</v>
      </c>
      <c r="T21" s="11">
        <f t="shared" si="0"/>
        <v>0</v>
      </c>
      <c r="U21" s="12">
        <f t="shared" si="1"/>
        <v>0</v>
      </c>
      <c r="V21" s="13">
        <f t="shared" si="2"/>
        <v>0</v>
      </c>
    </row>
    <row r="22" spans="2:22" ht="24.75" customHeight="1">
      <c r="B22" s="43">
        <v>2028</v>
      </c>
      <c r="C22" s="27">
        <v>14</v>
      </c>
      <c r="D22" s="24">
        <v>7333</v>
      </c>
      <c r="E22" s="24">
        <v>13984947.625</v>
      </c>
      <c r="F22" s="83">
        <v>321013.3025</v>
      </c>
      <c r="G22" s="24">
        <v>7846.954112387501</v>
      </c>
      <c r="H22" s="75">
        <f>+$H$20+(2*0.64)</f>
        <v>45.559999999999995</v>
      </c>
      <c r="I22" s="75">
        <f t="shared" si="6"/>
        <v>50.44951162813129</v>
      </c>
      <c r="J22" s="31">
        <f t="shared" si="3"/>
        <v>395875.00273830583</v>
      </c>
      <c r="K22" s="29">
        <v>8155.2182581649995</v>
      </c>
      <c r="L22" s="29">
        <v>9033387.28991875</v>
      </c>
      <c r="M22" s="59">
        <v>1446938.621073</v>
      </c>
      <c r="N22" s="29">
        <f t="shared" si="8"/>
        <v>1383</v>
      </c>
      <c r="O22" s="22">
        <f t="shared" si="7"/>
        <v>10885739.131988222</v>
      </c>
      <c r="P22" s="12">
        <f t="shared" si="4"/>
        <v>7196755.969653934</v>
      </c>
      <c r="Q22" s="12">
        <f t="shared" si="5"/>
        <v>4221677.316602001</v>
      </c>
      <c r="R22" s="4"/>
      <c r="S22" s="4">
        <v>0</v>
      </c>
      <c r="T22" s="11">
        <f t="shared" si="0"/>
        <v>0</v>
      </c>
      <c r="U22" s="12">
        <f t="shared" si="1"/>
        <v>0</v>
      </c>
      <c r="V22" s="13">
        <f t="shared" si="2"/>
        <v>0</v>
      </c>
    </row>
    <row r="23" spans="2:22" ht="24.75" customHeight="1">
      <c r="B23" s="43">
        <v>2029</v>
      </c>
      <c r="C23" s="27">
        <v>15</v>
      </c>
      <c r="D23" s="24">
        <v>7397.5</v>
      </c>
      <c r="E23" s="24">
        <v>14107957.1875</v>
      </c>
      <c r="F23" s="83">
        <v>323861.945</v>
      </c>
      <c r="G23" s="24">
        <v>7915.97477790625</v>
      </c>
      <c r="H23" s="75">
        <f>+$H$20+(3*0.64)</f>
        <v>46.199999999999996</v>
      </c>
      <c r="I23" s="75">
        <f t="shared" si="6"/>
        <v>51.15819660271435</v>
      </c>
      <c r="J23" s="31">
        <f t="shared" si="3"/>
        <v>404966.993990256</v>
      </c>
      <c r="K23" s="29">
        <v>8228.234856950625</v>
      </c>
      <c r="L23" s="59">
        <v>9113548.7372875</v>
      </c>
      <c r="M23" s="29">
        <v>1459665.6824475</v>
      </c>
      <c r="N23" s="29">
        <f t="shared" si="8"/>
        <v>1383</v>
      </c>
      <c r="O23" s="22">
        <f t="shared" si="7"/>
        <v>10987792.648582209</v>
      </c>
      <c r="P23" s="12">
        <f t="shared" si="4"/>
        <v>7052645.987010315</v>
      </c>
      <c r="Q23" s="12">
        <f t="shared" si="5"/>
        <v>3982481.7101342026</v>
      </c>
      <c r="R23" s="4"/>
      <c r="S23" s="4">
        <v>0</v>
      </c>
      <c r="T23" s="11">
        <f t="shared" si="0"/>
        <v>0</v>
      </c>
      <c r="U23" s="12">
        <f t="shared" si="1"/>
        <v>0</v>
      </c>
      <c r="V23" s="13">
        <f t="shared" si="2"/>
        <v>0</v>
      </c>
    </row>
    <row r="24" spans="2:22" ht="24.75" customHeight="1">
      <c r="B24" s="43">
        <v>2030</v>
      </c>
      <c r="C24" s="27">
        <v>16</v>
      </c>
      <c r="D24" s="24">
        <v>7462</v>
      </c>
      <c r="E24" s="24">
        <v>14230966.75</v>
      </c>
      <c r="F24" s="83">
        <v>326710.5875</v>
      </c>
      <c r="G24" s="24">
        <v>7984.995443425</v>
      </c>
      <c r="H24" s="75">
        <f>+$H$20+(4*0.64)</f>
        <v>46.839999999999996</v>
      </c>
      <c r="I24" s="75">
        <f t="shared" si="6"/>
        <v>51.866881577297406</v>
      </c>
      <c r="J24" s="31">
        <f t="shared" si="3"/>
        <v>414156.8130593839</v>
      </c>
      <c r="K24" s="29">
        <v>8301.25145573625</v>
      </c>
      <c r="L24" s="59">
        <v>9193710.184656251</v>
      </c>
      <c r="M24" s="29">
        <v>1472392.743822</v>
      </c>
      <c r="N24" s="29">
        <f t="shared" si="8"/>
        <v>1383</v>
      </c>
      <c r="O24" s="22">
        <f t="shared" si="7"/>
        <v>11089943.99299337</v>
      </c>
      <c r="P24" s="12">
        <f t="shared" si="4"/>
        <v>6910886.454236171</v>
      </c>
      <c r="Q24" s="12">
        <f t="shared" si="5"/>
        <v>3756547.7180534056</v>
      </c>
      <c r="R24" s="4"/>
      <c r="S24" s="4">
        <v>0</v>
      </c>
      <c r="T24" s="11">
        <f t="shared" si="0"/>
        <v>0</v>
      </c>
      <c r="U24" s="12">
        <f t="shared" si="1"/>
        <v>0</v>
      </c>
      <c r="V24" s="13">
        <f t="shared" si="2"/>
        <v>0</v>
      </c>
    </row>
    <row r="25" spans="2:22" ht="24.75" customHeight="1">
      <c r="B25" s="43">
        <v>2031</v>
      </c>
      <c r="C25" s="27">
        <v>17</v>
      </c>
      <c r="D25" s="24">
        <v>7526.5</v>
      </c>
      <c r="E25" s="24">
        <v>14353976.3125</v>
      </c>
      <c r="F25" s="83">
        <v>329559.23</v>
      </c>
      <c r="G25" s="24">
        <v>8054.016108943751</v>
      </c>
      <c r="H25" s="75">
        <f>+$H$20+(5*0.64)</f>
        <v>47.48</v>
      </c>
      <c r="I25" s="75">
        <f t="shared" si="6"/>
        <v>52.57556655188046</v>
      </c>
      <c r="J25" s="31">
        <f t="shared" si="3"/>
        <v>423444.4599456895</v>
      </c>
      <c r="K25" s="29">
        <v>8374.268054521875</v>
      </c>
      <c r="L25" s="29">
        <v>9273871.632025</v>
      </c>
      <c r="M25" s="59">
        <v>1485119.8051965</v>
      </c>
      <c r="N25" s="29">
        <f t="shared" si="8"/>
        <v>1383</v>
      </c>
      <c r="O25" s="22">
        <f t="shared" si="7"/>
        <v>11192193.16522171</v>
      </c>
      <c r="P25" s="12">
        <f t="shared" si="4"/>
        <v>6771460.93003058</v>
      </c>
      <c r="Q25" s="12">
        <f t="shared" si="5"/>
        <v>3543161.7292366424</v>
      </c>
      <c r="R25" s="4"/>
      <c r="S25" s="4">
        <v>0</v>
      </c>
      <c r="T25" s="11">
        <f t="shared" si="0"/>
        <v>0</v>
      </c>
      <c r="U25" s="12">
        <f t="shared" si="1"/>
        <v>0</v>
      </c>
      <c r="V25" s="13">
        <f t="shared" si="2"/>
        <v>0</v>
      </c>
    </row>
    <row r="26" spans="2:22" ht="24.75" customHeight="1">
      <c r="B26" s="43">
        <v>2032</v>
      </c>
      <c r="C26" s="27">
        <v>18</v>
      </c>
      <c r="D26" s="24">
        <v>7591</v>
      </c>
      <c r="E26" s="24">
        <v>14476985.875</v>
      </c>
      <c r="F26" s="83">
        <v>332407.8725</v>
      </c>
      <c r="G26" s="24">
        <v>8123.036774462501</v>
      </c>
      <c r="H26" s="75">
        <f>+$H$25+0.64</f>
        <v>48.12</v>
      </c>
      <c r="I26" s="75">
        <f t="shared" si="6"/>
        <v>53.28425152646352</v>
      </c>
      <c r="J26" s="31">
        <f t="shared" si="3"/>
        <v>432829.9346491728</v>
      </c>
      <c r="K26" s="29">
        <v>8447.2846533075</v>
      </c>
      <c r="L26" s="29">
        <v>9354033.079393752</v>
      </c>
      <c r="M26" s="29">
        <v>1497846.866571</v>
      </c>
      <c r="N26" s="29">
        <f t="shared" si="8"/>
        <v>1383</v>
      </c>
      <c r="O26" s="22">
        <f t="shared" si="7"/>
        <v>11294540.165267233</v>
      </c>
      <c r="P26" s="12">
        <f t="shared" si="4"/>
        <v>6634351.988583491</v>
      </c>
      <c r="Q26" s="12">
        <f t="shared" si="5"/>
        <v>3341646.886347555</v>
      </c>
      <c r="R26" s="4"/>
      <c r="S26" s="4">
        <v>0</v>
      </c>
      <c r="T26" s="11">
        <f t="shared" si="0"/>
        <v>0</v>
      </c>
      <c r="U26" s="12">
        <f t="shared" si="1"/>
        <v>0</v>
      </c>
      <c r="V26" s="13">
        <f t="shared" si="2"/>
        <v>0</v>
      </c>
    </row>
    <row r="27" spans="2:22" ht="24.75" customHeight="1">
      <c r="B27" s="43">
        <v>2033</v>
      </c>
      <c r="C27" s="27">
        <v>19</v>
      </c>
      <c r="D27" s="24">
        <v>7655.5</v>
      </c>
      <c r="E27" s="24">
        <v>14599995.4375</v>
      </c>
      <c r="F27" s="83">
        <v>335256.515</v>
      </c>
      <c r="G27" s="24">
        <v>8192.05743998125</v>
      </c>
      <c r="H27" s="75">
        <f>+$H$25+(2*0.64)</f>
        <v>48.76</v>
      </c>
      <c r="I27" s="75">
        <f t="shared" si="6"/>
        <v>53.99293650104657</v>
      </c>
      <c r="J27" s="31">
        <f t="shared" si="3"/>
        <v>442313.2371698338</v>
      </c>
      <c r="K27" s="29">
        <v>8520.301252093126</v>
      </c>
      <c r="L27" s="59">
        <v>9434194.5267625</v>
      </c>
      <c r="M27" s="29">
        <v>1510573.9279455</v>
      </c>
      <c r="N27" s="29">
        <f t="shared" si="8"/>
        <v>1383</v>
      </c>
      <c r="O27" s="22">
        <f t="shared" si="7"/>
        <v>11396984.993129928</v>
      </c>
      <c r="P27" s="12">
        <f t="shared" si="4"/>
        <v>6499541.289367201</v>
      </c>
      <c r="Q27" s="12">
        <f t="shared" si="5"/>
        <v>3151361.32179991</v>
      </c>
      <c r="R27" s="4"/>
      <c r="S27" s="4">
        <v>0</v>
      </c>
      <c r="T27" s="11">
        <f t="shared" si="0"/>
        <v>0</v>
      </c>
      <c r="U27" s="12">
        <f t="shared" si="1"/>
        <v>0</v>
      </c>
      <c r="V27" s="13">
        <f t="shared" si="2"/>
        <v>0</v>
      </c>
    </row>
    <row r="28" spans="2:22" ht="24.75" customHeight="1">
      <c r="B28" s="43">
        <v>2034</v>
      </c>
      <c r="C28" s="27">
        <v>20</v>
      </c>
      <c r="D28" s="24">
        <v>7720</v>
      </c>
      <c r="E28" s="24">
        <v>14723005</v>
      </c>
      <c r="F28" s="83">
        <v>338105.1575</v>
      </c>
      <c r="G28" s="24">
        <v>8261.0781055</v>
      </c>
      <c r="H28" s="75">
        <f>+$H$25+(3*0.64)</f>
        <v>49.4</v>
      </c>
      <c r="I28" s="75">
        <f t="shared" si="6"/>
        <v>54.70162147562963</v>
      </c>
      <c r="J28" s="31">
        <f t="shared" si="3"/>
        <v>451894.3675076726</v>
      </c>
      <c r="K28" s="29">
        <v>8593.317850878751</v>
      </c>
      <c r="L28" s="29">
        <v>9514355.97413125</v>
      </c>
      <c r="M28" s="59">
        <v>1523300.98932</v>
      </c>
      <c r="N28" s="29">
        <f t="shared" si="8"/>
        <v>1383</v>
      </c>
      <c r="O28" s="22">
        <f t="shared" si="7"/>
        <v>11499527.648809804</v>
      </c>
      <c r="P28" s="12">
        <f t="shared" si="4"/>
        <v>6367009.6437413795</v>
      </c>
      <c r="Q28" s="12">
        <f t="shared" si="5"/>
        <v>2971696.4678359414</v>
      </c>
      <c r="R28" s="4"/>
      <c r="S28" s="4">
        <v>0</v>
      </c>
      <c r="T28" s="11">
        <f t="shared" si="0"/>
        <v>0</v>
      </c>
      <c r="U28" s="12">
        <f t="shared" si="1"/>
        <v>0</v>
      </c>
      <c r="V28" s="13">
        <f t="shared" si="2"/>
        <v>0</v>
      </c>
    </row>
    <row r="29" spans="2:22" ht="24.75" customHeight="1">
      <c r="B29" s="43">
        <v>2035</v>
      </c>
      <c r="C29" s="27">
        <v>21</v>
      </c>
      <c r="D29" s="24">
        <v>7720</v>
      </c>
      <c r="E29" s="24">
        <v>14723005</v>
      </c>
      <c r="F29" s="83">
        <v>340953.8</v>
      </c>
      <c r="G29" s="24">
        <v>8261.0781055</v>
      </c>
      <c r="H29" s="75">
        <f>+$H$25+(4*0.64)</f>
        <v>50.04</v>
      </c>
      <c r="I29" s="75">
        <f t="shared" si="6"/>
        <v>55.41030645021269</v>
      </c>
      <c r="J29" s="31">
        <f t="shared" si="3"/>
        <v>457748.8694348975</v>
      </c>
      <c r="K29" s="29">
        <v>8666.334449664375</v>
      </c>
      <c r="L29" s="29">
        <v>9594517.421500001</v>
      </c>
      <c r="M29" s="29">
        <v>1523300.98932</v>
      </c>
      <c r="N29" s="29">
        <f t="shared" si="8"/>
        <v>1383</v>
      </c>
      <c r="O29" s="22">
        <f t="shared" si="7"/>
        <v>11585616.614704564</v>
      </c>
      <c r="P29" s="12">
        <f t="shared" si="4"/>
        <v>6227839.82219445</v>
      </c>
      <c r="Q29" s="12">
        <f t="shared" si="5"/>
        <v>2798078.0304259276</v>
      </c>
      <c r="R29" s="4"/>
      <c r="S29" s="4">
        <v>0</v>
      </c>
      <c r="T29" s="11">
        <f t="shared" si="0"/>
        <v>0</v>
      </c>
      <c r="U29" s="12">
        <f t="shared" si="1"/>
        <v>0</v>
      </c>
      <c r="V29" s="13">
        <f t="shared" si="2"/>
        <v>0</v>
      </c>
    </row>
    <row r="30" spans="2:22" ht="24.75" customHeight="1">
      <c r="B30" s="43">
        <v>2036</v>
      </c>
      <c r="C30" s="27">
        <v>22</v>
      </c>
      <c r="D30" s="24">
        <v>7720</v>
      </c>
      <c r="E30" s="24">
        <v>14723005</v>
      </c>
      <c r="F30" s="83">
        <v>340953.8</v>
      </c>
      <c r="G30" s="24">
        <v>8261.0781055</v>
      </c>
      <c r="H30" s="75">
        <f>+$H$25+(5*0.64)</f>
        <v>50.68</v>
      </c>
      <c r="I30" s="75">
        <f t="shared" si="6"/>
        <v>56.118991424795745</v>
      </c>
      <c r="J30" s="31">
        <f aca="true" t="shared" si="9" ref="J30:J58">G30*I30</f>
        <v>463603.3713621224</v>
      </c>
      <c r="K30" s="29">
        <v>8739.35104845</v>
      </c>
      <c r="L30" s="59">
        <v>9594517.421500001</v>
      </c>
      <c r="M30" s="29">
        <v>1523300.98932</v>
      </c>
      <c r="N30" s="29">
        <f t="shared" si="8"/>
        <v>1383</v>
      </c>
      <c r="O30" s="22">
        <f t="shared" si="7"/>
        <v>11591544.133230574</v>
      </c>
      <c r="P30" s="12">
        <f t="shared" si="4"/>
        <v>6049539.956782566</v>
      </c>
      <c r="Q30" s="12">
        <f t="shared" si="5"/>
        <v>2616364.1156279105</v>
      </c>
      <c r="R30" s="4"/>
      <c r="S30" s="4">
        <v>0</v>
      </c>
      <c r="T30" s="11">
        <f aca="true" t="shared" si="10" ref="T30:T58">SUM(R30:S30)</f>
        <v>0</v>
      </c>
      <c r="U30" s="12">
        <f t="shared" si="1"/>
        <v>0</v>
      </c>
      <c r="V30" s="13">
        <f t="shared" si="2"/>
        <v>0</v>
      </c>
    </row>
    <row r="31" spans="2:22" ht="24.75" customHeight="1">
      <c r="B31" s="43">
        <v>2037</v>
      </c>
      <c r="C31" s="27">
        <v>23</v>
      </c>
      <c r="D31" s="24">
        <v>7720</v>
      </c>
      <c r="E31" s="24">
        <v>14723005</v>
      </c>
      <c r="F31" s="83">
        <v>340953.8</v>
      </c>
      <c r="G31" s="24">
        <v>8261.0781055</v>
      </c>
      <c r="H31" s="75">
        <f>+$H$30+0.64</f>
        <v>51.32</v>
      </c>
      <c r="I31" s="75">
        <f t="shared" si="6"/>
        <v>56.8276763993788</v>
      </c>
      <c r="J31" s="31">
        <f t="shared" si="9"/>
        <v>469457.87328934734</v>
      </c>
      <c r="K31" s="29">
        <v>8739.35104845</v>
      </c>
      <c r="L31" s="59">
        <v>9594517.421500001</v>
      </c>
      <c r="M31" s="59">
        <v>1523300.98932</v>
      </c>
      <c r="N31" s="29">
        <f t="shared" si="8"/>
        <v>1383</v>
      </c>
      <c r="O31" s="22">
        <f t="shared" si="7"/>
        <v>11597398.6351578</v>
      </c>
      <c r="P31" s="12">
        <f t="shared" si="4"/>
        <v>5876306.19168426</v>
      </c>
      <c r="Q31" s="12">
        <f t="shared" si="5"/>
        <v>2446435.0969985547</v>
      </c>
      <c r="R31" s="4"/>
      <c r="S31" s="4">
        <v>0</v>
      </c>
      <c r="T31" s="11">
        <f t="shared" si="10"/>
        <v>0</v>
      </c>
      <c r="U31" s="12">
        <f t="shared" si="1"/>
        <v>0</v>
      </c>
      <c r="V31" s="13">
        <f t="shared" si="2"/>
        <v>0</v>
      </c>
    </row>
    <row r="32" spans="2:22" ht="24.75" customHeight="1">
      <c r="B32" s="43">
        <v>2038</v>
      </c>
      <c r="C32" s="27">
        <v>24</v>
      </c>
      <c r="D32" s="24">
        <v>7720</v>
      </c>
      <c r="E32" s="24">
        <v>14723005</v>
      </c>
      <c r="F32" s="83">
        <v>340953.8</v>
      </c>
      <c r="G32" s="24">
        <v>8261.0781055</v>
      </c>
      <c r="H32" s="75">
        <f>+$H$30+(2*0.64)</f>
        <v>51.96</v>
      </c>
      <c r="I32" s="75">
        <f t="shared" si="6"/>
        <v>57.53636137396186</v>
      </c>
      <c r="J32" s="31">
        <f t="shared" si="9"/>
        <v>475312.37521657225</v>
      </c>
      <c r="K32" s="29">
        <v>8739.35104845</v>
      </c>
      <c r="L32" s="29">
        <v>9594517.421500001</v>
      </c>
      <c r="M32" s="29">
        <v>1523300.98932</v>
      </c>
      <c r="N32" s="29">
        <f t="shared" si="8"/>
        <v>1383</v>
      </c>
      <c r="O32" s="22">
        <f t="shared" si="7"/>
        <v>11603253.137085024</v>
      </c>
      <c r="P32" s="12">
        <f t="shared" si="4"/>
        <v>5708031.669419371</v>
      </c>
      <c r="Q32" s="12">
        <f t="shared" si="5"/>
        <v>2287542.1363865803</v>
      </c>
      <c r="R32" s="4"/>
      <c r="S32" s="4">
        <v>0</v>
      </c>
      <c r="T32" s="11">
        <f t="shared" si="10"/>
        <v>0</v>
      </c>
      <c r="U32" s="12">
        <f t="shared" si="1"/>
        <v>0</v>
      </c>
      <c r="V32" s="13">
        <f t="shared" si="2"/>
        <v>0</v>
      </c>
    </row>
    <row r="33" spans="2:22" ht="24.75" customHeight="1">
      <c r="B33" s="43">
        <v>2039</v>
      </c>
      <c r="C33" s="27">
        <v>25</v>
      </c>
      <c r="D33" s="24">
        <v>7720</v>
      </c>
      <c r="E33" s="24">
        <v>14723005</v>
      </c>
      <c r="F33" s="83">
        <v>340953.8</v>
      </c>
      <c r="G33" s="24">
        <v>8261.0781055</v>
      </c>
      <c r="H33" s="75">
        <f>+$H$30+(3*0.64)</f>
        <v>52.6</v>
      </c>
      <c r="I33" s="75">
        <f t="shared" si="6"/>
        <v>58.24504634854492</v>
      </c>
      <c r="J33" s="31">
        <f t="shared" si="9"/>
        <v>481166.8771437972</v>
      </c>
      <c r="K33" s="29">
        <v>8739.35104845</v>
      </c>
      <c r="L33" s="29">
        <v>9594517.421500001</v>
      </c>
      <c r="M33" s="29">
        <v>1523300.98932</v>
      </c>
      <c r="N33" s="29">
        <f t="shared" si="8"/>
        <v>1383</v>
      </c>
      <c r="O33" s="22">
        <f t="shared" si="7"/>
        <v>11609107.63901225</v>
      </c>
      <c r="P33" s="12">
        <f t="shared" si="4"/>
        <v>5544574.462550327</v>
      </c>
      <c r="Q33" s="12">
        <f t="shared" si="5"/>
        <v>2138968.5342551554</v>
      </c>
      <c r="R33" s="12">
        <v>2050000</v>
      </c>
      <c r="S33" s="4">
        <v>0</v>
      </c>
      <c r="T33" s="11">
        <f t="shared" si="10"/>
        <v>2050000</v>
      </c>
      <c r="U33" s="12">
        <f t="shared" si="1"/>
        <v>979091.4169864024</v>
      </c>
      <c r="V33" s="13">
        <f t="shared" si="2"/>
        <v>377710.81392059114</v>
      </c>
    </row>
    <row r="34" spans="2:22" ht="24.75" customHeight="1">
      <c r="B34" s="43">
        <v>2040</v>
      </c>
      <c r="C34" s="27">
        <v>26</v>
      </c>
      <c r="D34" s="24">
        <v>7720</v>
      </c>
      <c r="E34" s="24">
        <v>14723005</v>
      </c>
      <c r="F34" s="83">
        <v>340953.8</v>
      </c>
      <c r="G34" s="24">
        <v>8261.0781055</v>
      </c>
      <c r="H34" s="75">
        <f>+$H$30+(4*0.64)</f>
        <v>53.24</v>
      </c>
      <c r="I34" s="75">
        <f t="shared" si="6"/>
        <v>58.95373132312797</v>
      </c>
      <c r="J34" s="31">
        <f t="shared" si="9"/>
        <v>487021.37907102203</v>
      </c>
      <c r="K34" s="29">
        <v>8739.35104845</v>
      </c>
      <c r="L34" s="59">
        <v>9594517.421500001</v>
      </c>
      <c r="M34" s="59">
        <v>1523300.98932</v>
      </c>
      <c r="N34" s="29">
        <f t="shared" si="8"/>
        <v>1383</v>
      </c>
      <c r="O34" s="22">
        <f t="shared" si="7"/>
        <v>11614962.140939474</v>
      </c>
      <c r="P34" s="12">
        <f t="shared" si="4"/>
        <v>5385796.704151478</v>
      </c>
      <c r="Q34" s="12">
        <f t="shared" si="5"/>
        <v>2000044.1321682702</v>
      </c>
      <c r="R34" s="4"/>
      <c r="S34" s="4">
        <v>0</v>
      </c>
      <c r="T34" s="11">
        <f t="shared" si="10"/>
        <v>0</v>
      </c>
      <c r="U34" s="12">
        <f t="shared" si="1"/>
        <v>0</v>
      </c>
      <c r="V34" s="13">
        <f t="shared" si="2"/>
        <v>0</v>
      </c>
    </row>
    <row r="35" spans="2:22" ht="24.75" customHeight="1">
      <c r="B35" s="43">
        <v>2041</v>
      </c>
      <c r="C35" s="27">
        <v>27</v>
      </c>
      <c r="D35" s="24">
        <v>7720</v>
      </c>
      <c r="E35" s="24">
        <v>14723005</v>
      </c>
      <c r="F35" s="83">
        <v>340953.8</v>
      </c>
      <c r="G35" s="24">
        <v>8261.0781055</v>
      </c>
      <c r="H35" s="75">
        <f>+$H$30+(5*0.64)</f>
        <v>53.88</v>
      </c>
      <c r="I35" s="75">
        <f t="shared" si="6"/>
        <v>59.662416297711026</v>
      </c>
      <c r="J35" s="31">
        <f t="shared" si="9"/>
        <v>492875.88099824695</v>
      </c>
      <c r="K35" s="29">
        <v>8739.35104845</v>
      </c>
      <c r="L35" s="29">
        <v>9594517.421500001</v>
      </c>
      <c r="M35" s="29">
        <v>1523300.98932</v>
      </c>
      <c r="N35" s="29">
        <f t="shared" si="8"/>
        <v>1383</v>
      </c>
      <c r="O35" s="22">
        <f t="shared" si="7"/>
        <v>11620816.642866699</v>
      </c>
      <c r="P35" s="12">
        <f t="shared" si="4"/>
        <v>5231564.471676612</v>
      </c>
      <c r="Q35" s="12">
        <f t="shared" si="5"/>
        <v>1870142.2906672568</v>
      </c>
      <c r="R35" s="4"/>
      <c r="S35" s="4">
        <v>0</v>
      </c>
      <c r="T35" s="11">
        <f t="shared" si="10"/>
        <v>0</v>
      </c>
      <c r="U35" s="12">
        <f t="shared" si="1"/>
        <v>0</v>
      </c>
      <c r="V35" s="13">
        <f t="shared" si="2"/>
        <v>0</v>
      </c>
    </row>
    <row r="36" spans="2:22" ht="24.75" customHeight="1">
      <c r="B36" s="43">
        <v>2042</v>
      </c>
      <c r="C36" s="27">
        <v>28</v>
      </c>
      <c r="D36" s="24">
        <v>7720</v>
      </c>
      <c r="E36" s="23">
        <v>14723005</v>
      </c>
      <c r="F36" s="83">
        <v>340953.8</v>
      </c>
      <c r="G36" s="24">
        <v>8261.0781055</v>
      </c>
      <c r="H36" s="75">
        <f>+$H$35+0.58</f>
        <v>54.46</v>
      </c>
      <c r="I36" s="75">
        <f t="shared" si="6"/>
        <v>60.30466205592692</v>
      </c>
      <c r="J36" s="31">
        <f t="shared" si="9"/>
        <v>498181.52336979454</v>
      </c>
      <c r="K36" s="29">
        <v>8739.35104845</v>
      </c>
      <c r="L36" s="29">
        <v>9594517.421500001</v>
      </c>
      <c r="M36" s="29">
        <v>1523300.98932</v>
      </c>
      <c r="N36" s="29">
        <f t="shared" si="8"/>
        <v>1383</v>
      </c>
      <c r="O36" s="22">
        <f t="shared" si="7"/>
        <v>11626122.285238246</v>
      </c>
      <c r="P36" s="12">
        <f t="shared" si="4"/>
        <v>5081507.780394261</v>
      </c>
      <c r="Q36" s="12">
        <f t="shared" si="5"/>
        <v>1748594.5136849296</v>
      </c>
      <c r="R36" s="4"/>
      <c r="S36" s="4">
        <v>0</v>
      </c>
      <c r="T36" s="11">
        <f t="shared" si="10"/>
        <v>0</v>
      </c>
      <c r="U36" s="12">
        <f t="shared" si="1"/>
        <v>0</v>
      </c>
      <c r="V36" s="13">
        <f t="shared" si="2"/>
        <v>0</v>
      </c>
    </row>
    <row r="37" spans="2:22" ht="24.75" customHeight="1">
      <c r="B37" s="43">
        <v>2043</v>
      </c>
      <c r="C37" s="27">
        <v>29</v>
      </c>
      <c r="D37" s="24">
        <v>7720</v>
      </c>
      <c r="E37" s="24">
        <v>14723005</v>
      </c>
      <c r="F37" s="83">
        <v>340953.8</v>
      </c>
      <c r="G37" s="24">
        <v>8261.0781055</v>
      </c>
      <c r="H37" s="75">
        <f>+$H$35+(2*0.58)</f>
        <v>55.04</v>
      </c>
      <c r="I37" s="75">
        <f t="shared" si="6"/>
        <v>60.94690781414281</v>
      </c>
      <c r="J37" s="31">
        <f t="shared" si="9"/>
        <v>503487.16574134206</v>
      </c>
      <c r="K37" s="29">
        <v>8739.35104845</v>
      </c>
      <c r="L37" s="59">
        <v>9594517.421500001</v>
      </c>
      <c r="M37" s="59">
        <v>1523300.98932</v>
      </c>
      <c r="N37" s="29">
        <f t="shared" si="8"/>
        <v>1383</v>
      </c>
      <c r="O37" s="22">
        <f t="shared" si="7"/>
        <v>11631427.927609794</v>
      </c>
      <c r="P37" s="12">
        <f t="shared" si="4"/>
        <v>4935754.129451943</v>
      </c>
      <c r="Q37" s="12">
        <f t="shared" si="5"/>
        <v>1634946.2561083874</v>
      </c>
      <c r="R37" s="4"/>
      <c r="S37" s="4">
        <v>0</v>
      </c>
      <c r="T37" s="11">
        <f t="shared" si="10"/>
        <v>0</v>
      </c>
      <c r="U37" s="12">
        <f t="shared" si="1"/>
        <v>0</v>
      </c>
      <c r="V37" s="13">
        <f t="shared" si="2"/>
        <v>0</v>
      </c>
    </row>
    <row r="38" spans="2:22" ht="24.75" customHeight="1">
      <c r="B38" s="43">
        <v>2044</v>
      </c>
      <c r="C38" s="27">
        <v>30</v>
      </c>
      <c r="D38" s="24">
        <v>7720</v>
      </c>
      <c r="E38" s="24">
        <v>14723005</v>
      </c>
      <c r="F38" s="83">
        <v>340953.8</v>
      </c>
      <c r="G38" s="24">
        <v>8261.0781055</v>
      </c>
      <c r="H38" s="75">
        <f>+$H$35+(3*0.58)</f>
        <v>55.620000000000005</v>
      </c>
      <c r="I38" s="75">
        <f t="shared" si="6"/>
        <v>61.58915357235871</v>
      </c>
      <c r="J38" s="31">
        <f t="shared" si="9"/>
        <v>508792.8081128897</v>
      </c>
      <c r="K38" s="29">
        <v>8739.35104845</v>
      </c>
      <c r="L38" s="59">
        <v>9594517.421500001</v>
      </c>
      <c r="M38" s="29">
        <v>1523300.98932</v>
      </c>
      <c r="N38" s="29">
        <f t="shared" si="8"/>
        <v>1383</v>
      </c>
      <c r="O38" s="22">
        <f t="shared" si="7"/>
        <v>11636733.569981342</v>
      </c>
      <c r="P38" s="12">
        <f t="shared" si="4"/>
        <v>4794180.154846584</v>
      </c>
      <c r="Q38" s="12">
        <f t="shared" si="5"/>
        <v>1528684.142184487</v>
      </c>
      <c r="R38" s="4"/>
      <c r="S38" s="4">
        <v>0</v>
      </c>
      <c r="T38" s="11">
        <f t="shared" si="10"/>
        <v>0</v>
      </c>
      <c r="U38" s="12">
        <f t="shared" si="1"/>
        <v>0</v>
      </c>
      <c r="V38" s="13">
        <f t="shared" si="2"/>
        <v>0</v>
      </c>
    </row>
    <row r="39" spans="2:22" ht="24.75" customHeight="1">
      <c r="B39" s="43">
        <v>2045</v>
      </c>
      <c r="C39" s="27">
        <v>31</v>
      </c>
      <c r="D39" s="24">
        <v>7720</v>
      </c>
      <c r="E39" s="24">
        <v>14723005</v>
      </c>
      <c r="F39" s="83">
        <v>340953.8</v>
      </c>
      <c r="G39" s="24">
        <v>8261.0781055</v>
      </c>
      <c r="H39" s="75">
        <f>+$H$35+(4*0.58)</f>
        <v>56.2</v>
      </c>
      <c r="I39" s="75">
        <f t="shared" si="6"/>
        <v>62.231399330574604</v>
      </c>
      <c r="J39" s="31">
        <f t="shared" si="9"/>
        <v>514098.4504844373</v>
      </c>
      <c r="K39" s="29">
        <v>8739.35104845</v>
      </c>
      <c r="L39" s="29">
        <v>9594517.421500001</v>
      </c>
      <c r="M39" s="29">
        <v>1523300.98932</v>
      </c>
      <c r="N39" s="29">
        <f t="shared" si="8"/>
        <v>1383</v>
      </c>
      <c r="O39" s="22">
        <f t="shared" si="7"/>
        <v>11642039.212352889</v>
      </c>
      <c r="P39" s="12">
        <f t="shared" si="4"/>
        <v>4656666.028402317</v>
      </c>
      <c r="Q39" s="12">
        <f t="shared" si="5"/>
        <v>1429328.1580630748</v>
      </c>
      <c r="R39" s="4"/>
      <c r="S39" s="4">
        <v>0</v>
      </c>
      <c r="T39" s="11">
        <f t="shared" si="10"/>
        <v>0</v>
      </c>
      <c r="U39" s="12">
        <f t="shared" si="1"/>
        <v>0</v>
      </c>
      <c r="V39" s="13">
        <f t="shared" si="2"/>
        <v>0</v>
      </c>
    </row>
    <row r="40" spans="2:22" ht="24.75" customHeight="1">
      <c r="B40" s="43">
        <v>2046</v>
      </c>
      <c r="C40" s="27">
        <v>32</v>
      </c>
      <c r="D40" s="24">
        <v>7720</v>
      </c>
      <c r="E40" s="24">
        <v>14723005</v>
      </c>
      <c r="F40" s="83">
        <v>340953.8</v>
      </c>
      <c r="G40" s="24">
        <v>8261.0781055</v>
      </c>
      <c r="H40" s="75">
        <f>+$H$35+(5*0.58)</f>
        <v>56.78</v>
      </c>
      <c r="I40" s="75">
        <f t="shared" si="6"/>
        <v>62.8736450887905</v>
      </c>
      <c r="J40" s="31">
        <f t="shared" si="9"/>
        <v>519404.0928559848</v>
      </c>
      <c r="K40" s="29">
        <v>8739.35104845</v>
      </c>
      <c r="L40" s="29">
        <v>9594517.421500001</v>
      </c>
      <c r="M40" s="59">
        <v>1523300.98932</v>
      </c>
      <c r="N40" s="29">
        <f t="shared" si="8"/>
        <v>1383</v>
      </c>
      <c r="O40" s="22">
        <f t="shared" si="7"/>
        <v>11647344.854724437</v>
      </c>
      <c r="P40" s="12">
        <f t="shared" si="4"/>
        <v>4523095.356454136</v>
      </c>
      <c r="Q40" s="12">
        <f t="shared" si="5"/>
        <v>1336429.4838592836</v>
      </c>
      <c r="R40" s="4"/>
      <c r="S40" s="4">
        <v>0</v>
      </c>
      <c r="T40" s="11">
        <f t="shared" si="10"/>
        <v>0</v>
      </c>
      <c r="U40" s="12">
        <f t="shared" si="1"/>
        <v>0</v>
      </c>
      <c r="V40" s="13">
        <f t="shared" si="2"/>
        <v>0</v>
      </c>
    </row>
    <row r="41" spans="2:22" ht="24.75" customHeight="1">
      <c r="B41" s="43">
        <v>2047</v>
      </c>
      <c r="C41" s="27">
        <v>33</v>
      </c>
      <c r="D41" s="24">
        <v>7720</v>
      </c>
      <c r="E41" s="24">
        <v>14723005</v>
      </c>
      <c r="F41" s="83">
        <v>340953.8</v>
      </c>
      <c r="G41" s="24">
        <v>8261.0781055</v>
      </c>
      <c r="H41" s="75">
        <f>+$H$40*0.56</f>
        <v>31.796800000000005</v>
      </c>
      <c r="I41" s="75">
        <f t="shared" si="6"/>
        <v>35.20924124972268</v>
      </c>
      <c r="J41" s="31">
        <f t="shared" si="9"/>
        <v>290866.2919993515</v>
      </c>
      <c r="K41" s="29">
        <v>8739.35104845</v>
      </c>
      <c r="L41" s="59">
        <v>9594517.421500001</v>
      </c>
      <c r="M41" s="29">
        <v>1523300.98932</v>
      </c>
      <c r="N41" s="29">
        <f t="shared" si="8"/>
        <v>1383</v>
      </c>
      <c r="O41" s="22">
        <f t="shared" si="7"/>
        <v>11418807.053867804</v>
      </c>
      <c r="P41" s="12">
        <f t="shared" si="4"/>
        <v>4305189.965709986</v>
      </c>
      <c r="Q41" s="12">
        <f t="shared" si="5"/>
        <v>1224492.3353801526</v>
      </c>
      <c r="R41" s="4"/>
      <c r="S41" s="4">
        <v>0</v>
      </c>
      <c r="T41" s="11">
        <f t="shared" si="10"/>
        <v>0</v>
      </c>
      <c r="U41" s="12">
        <f aca="true" t="shared" si="11" ref="U41:U58">T41/(1+$D$63)^$C41</f>
        <v>0</v>
      </c>
      <c r="V41" s="13">
        <f aca="true" t="shared" si="12" ref="V41:V58">T41/(1+$G$63)^$C41</f>
        <v>0</v>
      </c>
    </row>
    <row r="42" spans="2:22" ht="24.75" customHeight="1">
      <c r="B42" s="43">
        <v>2048</v>
      </c>
      <c r="C42" s="27">
        <v>34</v>
      </c>
      <c r="D42" s="24">
        <v>7720</v>
      </c>
      <c r="E42" s="24">
        <v>14723005</v>
      </c>
      <c r="F42" s="83">
        <v>340953.8</v>
      </c>
      <c r="G42" s="24">
        <v>8261.0781055</v>
      </c>
      <c r="H42" s="75">
        <f>+$H$40*(2*0.56)</f>
        <v>63.59360000000001</v>
      </c>
      <c r="I42" s="75">
        <f t="shared" si="6"/>
        <v>70.41848249944536</v>
      </c>
      <c r="J42" s="31">
        <f t="shared" si="9"/>
        <v>581732.583998703</v>
      </c>
      <c r="K42" s="29">
        <v>8739.35104845</v>
      </c>
      <c r="L42" s="29">
        <v>9594517.421500001</v>
      </c>
      <c r="M42" s="29">
        <v>1523300.98932</v>
      </c>
      <c r="N42" s="29">
        <f t="shared" si="8"/>
        <v>1383</v>
      </c>
      <c r="O42" s="22">
        <f aca="true" t="shared" si="13" ref="O42:O58">SUM(J42:N42)</f>
        <v>11709673.345867155</v>
      </c>
      <c r="P42" s="12">
        <f aca="true" t="shared" si="14" ref="P42:P58">O42/(1+$D$63)^$C42</f>
        <v>4286266.205906996</v>
      </c>
      <c r="Q42" s="12">
        <f aca="true" t="shared" si="15" ref="Q42:Q58">O42/(1+$G$63)^$C42</f>
        <v>1173535.7893471983</v>
      </c>
      <c r="R42" s="4"/>
      <c r="S42" s="4">
        <v>0</v>
      </c>
      <c r="T42" s="11">
        <f t="shared" si="10"/>
        <v>0</v>
      </c>
      <c r="U42" s="12">
        <f t="shared" si="11"/>
        <v>0</v>
      </c>
      <c r="V42" s="13">
        <f t="shared" si="12"/>
        <v>0</v>
      </c>
    </row>
    <row r="43" spans="2:22" ht="24.75" customHeight="1">
      <c r="B43" s="43">
        <v>2049</v>
      </c>
      <c r="C43" s="27">
        <v>35</v>
      </c>
      <c r="D43" s="24">
        <v>7720</v>
      </c>
      <c r="E43" s="24">
        <v>14723005</v>
      </c>
      <c r="F43" s="83">
        <v>340953.8</v>
      </c>
      <c r="G43" s="24">
        <v>8261.0781055</v>
      </c>
      <c r="H43" s="75">
        <f>+$H$40+(3*0.56)</f>
        <v>58.46</v>
      </c>
      <c r="I43" s="75">
        <f t="shared" si="6"/>
        <v>64.73394314707102</v>
      </c>
      <c r="J43" s="31">
        <f t="shared" si="9"/>
        <v>534772.1604149502</v>
      </c>
      <c r="K43" s="29">
        <v>8739.35104845</v>
      </c>
      <c r="L43" s="29">
        <v>9594517.421500001</v>
      </c>
      <c r="M43" s="59">
        <v>1523300.98932</v>
      </c>
      <c r="N43" s="29">
        <f t="shared" si="8"/>
        <v>1383</v>
      </c>
      <c r="O43" s="22">
        <f t="shared" si="13"/>
        <v>11662712.922283402</v>
      </c>
      <c r="P43" s="12">
        <f t="shared" si="14"/>
        <v>4144734.545984862</v>
      </c>
      <c r="Q43" s="12">
        <f t="shared" si="15"/>
        <v>1092363.96866253</v>
      </c>
      <c r="R43" s="4"/>
      <c r="S43" s="4">
        <v>0</v>
      </c>
      <c r="T43" s="11">
        <f t="shared" si="10"/>
        <v>0</v>
      </c>
      <c r="U43" s="12">
        <f t="shared" si="11"/>
        <v>0</v>
      </c>
      <c r="V43" s="13">
        <f t="shared" si="12"/>
        <v>0</v>
      </c>
    </row>
    <row r="44" spans="2:22" ht="24.75" customHeight="1">
      <c r="B44" s="43">
        <v>2050</v>
      </c>
      <c r="C44" s="27">
        <v>36</v>
      </c>
      <c r="D44" s="24">
        <v>7720</v>
      </c>
      <c r="E44" s="24">
        <v>14723005</v>
      </c>
      <c r="F44" s="83">
        <v>340953.8</v>
      </c>
      <c r="G44" s="24">
        <v>8261.0781055</v>
      </c>
      <c r="H44" s="75">
        <f>+$H$40+(4*0.56)</f>
        <v>59.02</v>
      </c>
      <c r="I44" s="75">
        <f t="shared" si="6"/>
        <v>65.3540424998312</v>
      </c>
      <c r="J44" s="31">
        <f t="shared" si="9"/>
        <v>539894.849601272</v>
      </c>
      <c r="K44" s="29">
        <v>8739.35104845</v>
      </c>
      <c r="L44" s="59">
        <v>9594517.421500001</v>
      </c>
      <c r="M44" s="29">
        <v>1523300.98932</v>
      </c>
      <c r="N44" s="29">
        <f t="shared" si="8"/>
        <v>1383</v>
      </c>
      <c r="O44" s="22">
        <f t="shared" si="13"/>
        <v>11667835.611469723</v>
      </c>
      <c r="P44" s="12">
        <f t="shared" si="14"/>
        <v>4025781.6161881685</v>
      </c>
      <c r="Q44" s="12">
        <f t="shared" si="15"/>
        <v>1021349.3222309811</v>
      </c>
      <c r="R44" s="4"/>
      <c r="S44" s="4">
        <v>0</v>
      </c>
      <c r="T44" s="11">
        <f t="shared" si="10"/>
        <v>0</v>
      </c>
      <c r="U44" s="12">
        <f t="shared" si="11"/>
        <v>0</v>
      </c>
      <c r="V44" s="13">
        <f t="shared" si="12"/>
        <v>0</v>
      </c>
    </row>
    <row r="45" spans="2:22" ht="24.75" customHeight="1">
      <c r="B45" s="43">
        <v>2051</v>
      </c>
      <c r="C45" s="27">
        <v>37</v>
      </c>
      <c r="D45" s="24">
        <v>7720</v>
      </c>
      <c r="E45" s="24">
        <v>14723005</v>
      </c>
      <c r="F45" s="83">
        <v>340953.8</v>
      </c>
      <c r="G45" s="24">
        <v>8261.0781055</v>
      </c>
      <c r="H45" s="75">
        <f>+$H$40+(5*0.56)</f>
        <v>59.58</v>
      </c>
      <c r="I45" s="75">
        <f t="shared" si="6"/>
        <v>65.97414185259136</v>
      </c>
      <c r="J45" s="31">
        <f t="shared" si="9"/>
        <v>545017.5387875937</v>
      </c>
      <c r="K45" s="29">
        <v>8739.35104845</v>
      </c>
      <c r="L45" s="59">
        <v>9594517.421500001</v>
      </c>
      <c r="M45" s="29">
        <v>1523300.98932</v>
      </c>
      <c r="N45" s="29">
        <f t="shared" si="8"/>
        <v>1383</v>
      </c>
      <c r="O45" s="22">
        <f t="shared" si="13"/>
        <v>11672958.300656045</v>
      </c>
      <c r="P45" s="12">
        <f t="shared" si="14"/>
        <v>3910241.8544280943</v>
      </c>
      <c r="Q45" s="12">
        <f t="shared" si="15"/>
        <v>954951.1581026898</v>
      </c>
      <c r="R45" s="4"/>
      <c r="S45" s="4">
        <v>0</v>
      </c>
      <c r="T45" s="11">
        <f t="shared" si="10"/>
        <v>0</v>
      </c>
      <c r="U45" s="12">
        <f t="shared" si="11"/>
        <v>0</v>
      </c>
      <c r="V45" s="13">
        <f t="shared" si="12"/>
        <v>0</v>
      </c>
    </row>
    <row r="46" spans="2:22" ht="24.75" customHeight="1">
      <c r="B46" s="43">
        <v>2052</v>
      </c>
      <c r="C46" s="27">
        <v>38</v>
      </c>
      <c r="D46" s="24">
        <v>7720</v>
      </c>
      <c r="E46" s="24">
        <v>14723005</v>
      </c>
      <c r="F46" s="83">
        <v>340953.8</v>
      </c>
      <c r="G46" s="24">
        <v>8261.0781055</v>
      </c>
      <c r="H46" s="75">
        <f aca="true" t="shared" si="16" ref="H46:H58">+$H$40+(5*0.56)</f>
        <v>59.58</v>
      </c>
      <c r="I46" s="75">
        <f t="shared" si="6"/>
        <v>65.97414185259136</v>
      </c>
      <c r="J46" s="31">
        <f t="shared" si="9"/>
        <v>545017.5387875937</v>
      </c>
      <c r="K46" s="29">
        <v>8739.35104845</v>
      </c>
      <c r="L46" s="29">
        <v>9594517.421500001</v>
      </c>
      <c r="M46" s="59">
        <v>1523300.98932</v>
      </c>
      <c r="N46" s="29">
        <f t="shared" si="8"/>
        <v>1383</v>
      </c>
      <c r="O46" s="22">
        <f t="shared" si="13"/>
        <v>11672958.300656045</v>
      </c>
      <c r="P46" s="12">
        <f t="shared" si="14"/>
        <v>3796351.3149787323</v>
      </c>
      <c r="Q46" s="12">
        <f t="shared" si="15"/>
        <v>892477.7178529812</v>
      </c>
      <c r="R46" s="4"/>
      <c r="S46" s="4">
        <v>0</v>
      </c>
      <c r="T46" s="11">
        <f t="shared" si="10"/>
        <v>0</v>
      </c>
      <c r="U46" s="12">
        <f t="shared" si="11"/>
        <v>0</v>
      </c>
      <c r="V46" s="13">
        <f t="shared" si="12"/>
        <v>0</v>
      </c>
    </row>
    <row r="47" spans="2:22" ht="24.75" customHeight="1">
      <c r="B47" s="43">
        <v>2053</v>
      </c>
      <c r="C47" s="27">
        <v>39</v>
      </c>
      <c r="D47" s="24">
        <v>7720</v>
      </c>
      <c r="E47" s="24">
        <v>14723005</v>
      </c>
      <c r="F47" s="83">
        <v>340953.8</v>
      </c>
      <c r="G47" s="24">
        <v>8261.0781055</v>
      </c>
      <c r="H47" s="75">
        <f t="shared" si="16"/>
        <v>59.58</v>
      </c>
      <c r="I47" s="75">
        <f t="shared" si="6"/>
        <v>65.97414185259136</v>
      </c>
      <c r="J47" s="31">
        <f t="shared" si="9"/>
        <v>545017.5387875937</v>
      </c>
      <c r="K47" s="29">
        <v>8739.35104845</v>
      </c>
      <c r="L47" s="29">
        <v>9594517.421500001</v>
      </c>
      <c r="M47" s="29">
        <v>1523300.98932</v>
      </c>
      <c r="N47" s="29">
        <f t="shared" si="8"/>
        <v>1383</v>
      </c>
      <c r="O47" s="22">
        <f t="shared" si="13"/>
        <v>11672958.300656045</v>
      </c>
      <c r="P47" s="12">
        <f t="shared" si="14"/>
        <v>3685777.9757075068</v>
      </c>
      <c r="Q47" s="12">
        <f t="shared" si="15"/>
        <v>834091.3250962441</v>
      </c>
      <c r="R47" s="4"/>
      <c r="S47" s="4">
        <v>0</v>
      </c>
      <c r="T47" s="11">
        <f t="shared" si="10"/>
        <v>0</v>
      </c>
      <c r="U47" s="12">
        <f t="shared" si="11"/>
        <v>0</v>
      </c>
      <c r="V47" s="13">
        <f t="shared" si="12"/>
        <v>0</v>
      </c>
    </row>
    <row r="48" spans="2:22" ht="24.75" customHeight="1">
      <c r="B48" s="43">
        <v>2054</v>
      </c>
      <c r="C48" s="27">
        <v>40</v>
      </c>
      <c r="D48" s="24">
        <v>7720</v>
      </c>
      <c r="E48" s="24">
        <v>14723005</v>
      </c>
      <c r="F48" s="83">
        <v>340953.8</v>
      </c>
      <c r="G48" s="24">
        <v>8261.0781055</v>
      </c>
      <c r="H48" s="75">
        <f t="shared" si="16"/>
        <v>59.58</v>
      </c>
      <c r="I48" s="75">
        <f t="shared" si="6"/>
        <v>65.97414185259136</v>
      </c>
      <c r="J48" s="31">
        <f t="shared" si="9"/>
        <v>545017.5387875937</v>
      </c>
      <c r="K48" s="29">
        <v>8739.35104845</v>
      </c>
      <c r="L48" s="59">
        <v>9594517.421500001</v>
      </c>
      <c r="M48" s="29">
        <v>1523300.98932</v>
      </c>
      <c r="N48" s="29">
        <f t="shared" si="8"/>
        <v>1383</v>
      </c>
      <c r="O48" s="22">
        <f t="shared" si="13"/>
        <v>11672958.300656045</v>
      </c>
      <c r="P48" s="12">
        <f t="shared" si="14"/>
        <v>3578425.2191335023</v>
      </c>
      <c r="Q48" s="12">
        <f t="shared" si="15"/>
        <v>779524.602893686</v>
      </c>
      <c r="R48" s="4"/>
      <c r="S48" s="4">
        <v>0</v>
      </c>
      <c r="T48" s="11">
        <f t="shared" si="10"/>
        <v>0</v>
      </c>
      <c r="U48" s="12">
        <f t="shared" si="11"/>
        <v>0</v>
      </c>
      <c r="V48" s="13">
        <f t="shared" si="12"/>
        <v>0</v>
      </c>
    </row>
    <row r="49" spans="2:22" ht="24.75" customHeight="1">
      <c r="B49" s="43">
        <v>2055</v>
      </c>
      <c r="C49" s="27">
        <v>41</v>
      </c>
      <c r="D49" s="24">
        <v>7720</v>
      </c>
      <c r="E49" s="24">
        <v>14723005</v>
      </c>
      <c r="F49" s="83">
        <v>340953.8</v>
      </c>
      <c r="G49" s="24">
        <v>8261.0781055</v>
      </c>
      <c r="H49" s="75">
        <f t="shared" si="16"/>
        <v>59.58</v>
      </c>
      <c r="I49" s="75">
        <f t="shared" si="6"/>
        <v>65.97414185259136</v>
      </c>
      <c r="J49" s="31">
        <f t="shared" si="9"/>
        <v>545017.5387875937</v>
      </c>
      <c r="K49" s="29">
        <v>8739.35104845</v>
      </c>
      <c r="L49" s="29">
        <v>9594517.421500001</v>
      </c>
      <c r="M49" s="59">
        <v>1523300.98932</v>
      </c>
      <c r="N49" s="29">
        <f t="shared" si="8"/>
        <v>1383</v>
      </c>
      <c r="O49" s="22">
        <f t="shared" si="13"/>
        <v>11672958.300656045</v>
      </c>
      <c r="P49" s="12">
        <f t="shared" si="14"/>
        <v>3474199.2418771866</v>
      </c>
      <c r="Q49" s="12">
        <f t="shared" si="15"/>
        <v>728527.6662557813</v>
      </c>
      <c r="R49" s="4"/>
      <c r="S49" s="4">
        <v>0</v>
      </c>
      <c r="T49" s="11">
        <f t="shared" si="10"/>
        <v>0</v>
      </c>
      <c r="U49" s="12">
        <f t="shared" si="11"/>
        <v>0</v>
      </c>
      <c r="V49" s="13">
        <f t="shared" si="12"/>
        <v>0</v>
      </c>
    </row>
    <row r="50" spans="2:22" ht="24.75" customHeight="1">
      <c r="B50" s="43">
        <v>2056</v>
      </c>
      <c r="C50" s="27">
        <v>42</v>
      </c>
      <c r="D50" s="24">
        <v>7720</v>
      </c>
      <c r="E50" s="24">
        <v>14723005</v>
      </c>
      <c r="F50" s="83">
        <v>340953.8</v>
      </c>
      <c r="G50" s="24">
        <v>8261.0781055</v>
      </c>
      <c r="H50" s="75">
        <f t="shared" si="16"/>
        <v>59.58</v>
      </c>
      <c r="I50" s="75">
        <f t="shared" si="6"/>
        <v>65.97414185259136</v>
      </c>
      <c r="J50" s="31">
        <f t="shared" si="9"/>
        <v>545017.5387875937</v>
      </c>
      <c r="K50" s="29">
        <v>8739.35104845</v>
      </c>
      <c r="L50" s="29">
        <v>9594517.421500001</v>
      </c>
      <c r="M50" s="29">
        <v>1523300.98932</v>
      </c>
      <c r="N50" s="29">
        <f t="shared" si="8"/>
        <v>1383</v>
      </c>
      <c r="O50" s="22">
        <f t="shared" si="13"/>
        <v>11672958.300656045</v>
      </c>
      <c r="P50" s="12">
        <f t="shared" si="14"/>
        <v>3373008.9726962973</v>
      </c>
      <c r="Q50" s="12">
        <f t="shared" si="15"/>
        <v>680866.9778091415</v>
      </c>
      <c r="R50" s="4"/>
      <c r="S50" s="4">
        <v>0</v>
      </c>
      <c r="T50" s="11">
        <f t="shared" si="10"/>
        <v>0</v>
      </c>
      <c r="U50" s="12">
        <f t="shared" si="11"/>
        <v>0</v>
      </c>
      <c r="V50" s="13">
        <f t="shared" si="12"/>
        <v>0</v>
      </c>
    </row>
    <row r="51" spans="2:22" ht="24.75" customHeight="1">
      <c r="B51" s="43">
        <v>2057</v>
      </c>
      <c r="C51" s="27">
        <v>43</v>
      </c>
      <c r="D51" s="24">
        <v>7720</v>
      </c>
      <c r="E51" s="24">
        <v>14723005</v>
      </c>
      <c r="F51" s="83">
        <v>340953.8</v>
      </c>
      <c r="G51" s="24">
        <v>8261.0781055</v>
      </c>
      <c r="H51" s="75">
        <f t="shared" si="16"/>
        <v>59.58</v>
      </c>
      <c r="I51" s="75">
        <f t="shared" si="6"/>
        <v>65.97414185259136</v>
      </c>
      <c r="J51" s="31">
        <f t="shared" si="9"/>
        <v>545017.5387875937</v>
      </c>
      <c r="K51" s="29">
        <v>8739.35104845</v>
      </c>
      <c r="L51" s="59">
        <v>9594517.421500001</v>
      </c>
      <c r="M51" s="29">
        <v>1523300.98932</v>
      </c>
      <c r="N51" s="29">
        <f t="shared" si="8"/>
        <v>1383</v>
      </c>
      <c r="O51" s="22">
        <f t="shared" si="13"/>
        <v>11672958.300656045</v>
      </c>
      <c r="P51" s="12">
        <f t="shared" si="14"/>
        <v>3274765.992909027</v>
      </c>
      <c r="Q51" s="12">
        <f t="shared" si="15"/>
        <v>636324.2783263003</v>
      </c>
      <c r="R51" s="4"/>
      <c r="S51" s="4">
        <v>0</v>
      </c>
      <c r="T51" s="11">
        <f t="shared" si="10"/>
        <v>0</v>
      </c>
      <c r="U51" s="12">
        <f t="shared" si="11"/>
        <v>0</v>
      </c>
      <c r="V51" s="13">
        <f t="shared" si="12"/>
        <v>0</v>
      </c>
    </row>
    <row r="52" spans="2:22" ht="24.75" customHeight="1">
      <c r="B52" s="43">
        <v>2058</v>
      </c>
      <c r="C52" s="27">
        <v>44</v>
      </c>
      <c r="D52" s="24">
        <v>7720</v>
      </c>
      <c r="E52" s="24">
        <v>14723005</v>
      </c>
      <c r="F52" s="83">
        <v>340953.8</v>
      </c>
      <c r="G52" s="24">
        <v>8261.0781055</v>
      </c>
      <c r="H52" s="75">
        <f t="shared" si="16"/>
        <v>59.58</v>
      </c>
      <c r="I52" s="75">
        <f t="shared" si="6"/>
        <v>65.97414185259136</v>
      </c>
      <c r="J52" s="31">
        <f t="shared" si="9"/>
        <v>545017.5387875937</v>
      </c>
      <c r="K52" s="29">
        <v>8739.35104845</v>
      </c>
      <c r="L52" s="59">
        <v>9594517.421500001</v>
      </c>
      <c r="M52" s="29">
        <v>1523300.98932</v>
      </c>
      <c r="N52" s="29">
        <f t="shared" si="8"/>
        <v>1383</v>
      </c>
      <c r="O52" s="22">
        <f t="shared" si="13"/>
        <v>11672958.300656045</v>
      </c>
      <c r="P52" s="12">
        <f t="shared" si="14"/>
        <v>3179384.459134978</v>
      </c>
      <c r="Q52" s="12">
        <f t="shared" si="15"/>
        <v>594695.5872208416</v>
      </c>
      <c r="R52" s="4"/>
      <c r="S52" s="4">
        <v>0</v>
      </c>
      <c r="T52" s="11">
        <f t="shared" si="10"/>
        <v>0</v>
      </c>
      <c r="U52" s="12">
        <f t="shared" si="11"/>
        <v>0</v>
      </c>
      <c r="V52" s="13">
        <f t="shared" si="12"/>
        <v>0</v>
      </c>
    </row>
    <row r="53" spans="2:22" ht="24.75" customHeight="1">
      <c r="B53" s="43">
        <v>2059</v>
      </c>
      <c r="C53" s="27">
        <v>45</v>
      </c>
      <c r="D53" s="24">
        <v>7720</v>
      </c>
      <c r="E53" s="24">
        <v>14723005</v>
      </c>
      <c r="F53" s="83">
        <v>340953.8</v>
      </c>
      <c r="G53" s="24">
        <v>8261.0781055</v>
      </c>
      <c r="H53" s="75">
        <f t="shared" si="16"/>
        <v>59.58</v>
      </c>
      <c r="I53" s="75">
        <f t="shared" si="6"/>
        <v>65.97414185259136</v>
      </c>
      <c r="J53" s="31">
        <f t="shared" si="9"/>
        <v>545017.5387875937</v>
      </c>
      <c r="K53" s="29">
        <v>8739.35104845</v>
      </c>
      <c r="L53" s="29">
        <v>9594517.421500001</v>
      </c>
      <c r="M53" s="59">
        <v>1523300.98932</v>
      </c>
      <c r="N53" s="29">
        <f t="shared" si="8"/>
        <v>1383</v>
      </c>
      <c r="O53" s="22">
        <f t="shared" si="13"/>
        <v>11672958.300656045</v>
      </c>
      <c r="P53" s="12">
        <f t="shared" si="14"/>
        <v>3086781.0282863863</v>
      </c>
      <c r="Q53" s="12">
        <f t="shared" si="15"/>
        <v>555790.268430693</v>
      </c>
      <c r="R53" s="4"/>
      <c r="S53" s="4">
        <v>0</v>
      </c>
      <c r="T53" s="11">
        <f t="shared" si="10"/>
        <v>0</v>
      </c>
      <c r="U53" s="12">
        <f t="shared" si="11"/>
        <v>0</v>
      </c>
      <c r="V53" s="13">
        <f t="shared" si="12"/>
        <v>0</v>
      </c>
    </row>
    <row r="54" spans="2:22" ht="24.75" customHeight="1">
      <c r="B54" s="43">
        <v>2060</v>
      </c>
      <c r="C54" s="27">
        <v>46</v>
      </c>
      <c r="D54" s="24">
        <v>7720</v>
      </c>
      <c r="E54" s="24">
        <v>14723005</v>
      </c>
      <c r="F54" s="83">
        <v>340953.8</v>
      </c>
      <c r="G54" s="24">
        <v>8261.0781055</v>
      </c>
      <c r="H54" s="75">
        <f t="shared" si="16"/>
        <v>59.58</v>
      </c>
      <c r="I54" s="75">
        <f t="shared" si="6"/>
        <v>65.97414185259136</v>
      </c>
      <c r="J54" s="31">
        <f t="shared" si="9"/>
        <v>545017.5387875937</v>
      </c>
      <c r="K54" s="29">
        <v>8739.35104845</v>
      </c>
      <c r="L54" s="29">
        <v>9594517.421500001</v>
      </c>
      <c r="M54" s="29">
        <v>1523300.98932</v>
      </c>
      <c r="N54" s="29">
        <f t="shared" si="8"/>
        <v>1383</v>
      </c>
      <c r="O54" s="22">
        <f t="shared" si="13"/>
        <v>11672958.300656045</v>
      </c>
      <c r="P54" s="12">
        <f t="shared" si="14"/>
        <v>2996874.7847440643</v>
      </c>
      <c r="Q54" s="12">
        <f t="shared" si="15"/>
        <v>519430.1574118626</v>
      </c>
      <c r="R54" s="4"/>
      <c r="S54" s="4">
        <v>0</v>
      </c>
      <c r="T54" s="11">
        <f t="shared" si="10"/>
        <v>0</v>
      </c>
      <c r="U54" s="12">
        <f t="shared" si="11"/>
        <v>0</v>
      </c>
      <c r="V54" s="13">
        <f t="shared" si="12"/>
        <v>0</v>
      </c>
    </row>
    <row r="55" spans="2:22" ht="24.75" customHeight="1">
      <c r="B55" s="43">
        <v>2061</v>
      </c>
      <c r="C55" s="27">
        <v>47</v>
      </c>
      <c r="D55" s="24">
        <v>7720</v>
      </c>
      <c r="E55" s="24">
        <v>14723005</v>
      </c>
      <c r="F55" s="83">
        <v>340953.8</v>
      </c>
      <c r="G55" s="24">
        <v>8261.0781055</v>
      </c>
      <c r="H55" s="75">
        <f t="shared" si="16"/>
        <v>59.58</v>
      </c>
      <c r="I55" s="75">
        <f t="shared" si="6"/>
        <v>65.97414185259136</v>
      </c>
      <c r="J55" s="31">
        <f t="shared" si="9"/>
        <v>545017.5387875937</v>
      </c>
      <c r="K55" s="29">
        <v>8739.35104845</v>
      </c>
      <c r="L55" s="59">
        <v>9594517.421500001</v>
      </c>
      <c r="M55" s="29">
        <v>1523300.98932</v>
      </c>
      <c r="N55" s="29">
        <f t="shared" si="8"/>
        <v>1383</v>
      </c>
      <c r="O55" s="22">
        <f t="shared" si="13"/>
        <v>11672958.300656045</v>
      </c>
      <c r="P55" s="12">
        <f t="shared" si="14"/>
        <v>2909587.169654431</v>
      </c>
      <c r="Q55" s="12">
        <f t="shared" si="15"/>
        <v>485448.74524473137</v>
      </c>
      <c r="R55" s="4"/>
      <c r="S55" s="4">
        <v>0</v>
      </c>
      <c r="T55" s="11">
        <f t="shared" si="10"/>
        <v>0</v>
      </c>
      <c r="U55" s="12">
        <f t="shared" si="11"/>
        <v>0</v>
      </c>
      <c r="V55" s="13">
        <f t="shared" si="12"/>
        <v>0</v>
      </c>
    </row>
    <row r="56" spans="2:22" ht="24.75" customHeight="1">
      <c r="B56" s="43">
        <v>2062</v>
      </c>
      <c r="C56" s="27">
        <v>48</v>
      </c>
      <c r="D56" s="24">
        <v>7720</v>
      </c>
      <c r="E56" s="24">
        <v>14723005</v>
      </c>
      <c r="F56" s="83">
        <v>340953.8</v>
      </c>
      <c r="G56" s="24">
        <v>8261.0781055</v>
      </c>
      <c r="H56" s="75">
        <f t="shared" si="16"/>
        <v>59.58</v>
      </c>
      <c r="I56" s="75">
        <f t="shared" si="6"/>
        <v>65.97414185259136</v>
      </c>
      <c r="J56" s="31">
        <f t="shared" si="9"/>
        <v>545017.5387875937</v>
      </c>
      <c r="K56" s="29">
        <v>8739.35104845</v>
      </c>
      <c r="L56" s="29">
        <v>9594517.421500001</v>
      </c>
      <c r="M56" s="29">
        <v>1523300.98932</v>
      </c>
      <c r="N56" s="29">
        <f t="shared" si="8"/>
        <v>1383</v>
      </c>
      <c r="O56" s="22">
        <f t="shared" si="13"/>
        <v>11672958.300656045</v>
      </c>
      <c r="P56" s="12">
        <f t="shared" si="14"/>
        <v>2824841.9122858555</v>
      </c>
      <c r="Q56" s="12">
        <f t="shared" si="15"/>
        <v>453690.4161165714</v>
      </c>
      <c r="R56" s="4"/>
      <c r="S56" s="4">
        <v>0</v>
      </c>
      <c r="T56" s="11">
        <f t="shared" si="10"/>
        <v>0</v>
      </c>
      <c r="U56" s="12">
        <f t="shared" si="11"/>
        <v>0</v>
      </c>
      <c r="V56" s="13">
        <f t="shared" si="12"/>
        <v>0</v>
      </c>
    </row>
    <row r="57" spans="2:22" ht="24.75" customHeight="1">
      <c r="B57" s="43">
        <v>2063</v>
      </c>
      <c r="C57" s="27">
        <v>49</v>
      </c>
      <c r="D57" s="24">
        <v>7720</v>
      </c>
      <c r="E57" s="24">
        <v>14723005</v>
      </c>
      <c r="F57" s="83">
        <v>340953.8</v>
      </c>
      <c r="G57" s="24">
        <v>8261.0781055</v>
      </c>
      <c r="H57" s="75">
        <f t="shared" si="16"/>
        <v>59.58</v>
      </c>
      <c r="I57" s="75">
        <f t="shared" si="6"/>
        <v>65.97414185259136</v>
      </c>
      <c r="J57" s="31">
        <f t="shared" si="9"/>
        <v>545017.5387875937</v>
      </c>
      <c r="K57" s="29">
        <v>8739.35104845</v>
      </c>
      <c r="L57" s="29">
        <v>9594517.421500001</v>
      </c>
      <c r="M57" s="29">
        <v>1523300.98932</v>
      </c>
      <c r="N57" s="29">
        <f t="shared" si="8"/>
        <v>1383</v>
      </c>
      <c r="O57" s="22">
        <f t="shared" si="13"/>
        <v>11672958.300656045</v>
      </c>
      <c r="P57" s="12">
        <f t="shared" si="14"/>
        <v>2742564.963384326</v>
      </c>
      <c r="Q57" s="12">
        <f t="shared" si="15"/>
        <v>424009.7346883845</v>
      </c>
      <c r="R57" s="4"/>
      <c r="S57" s="4">
        <v>0</v>
      </c>
      <c r="T57" s="11">
        <f t="shared" si="10"/>
        <v>0</v>
      </c>
      <c r="U57" s="12">
        <f t="shared" si="11"/>
        <v>0</v>
      </c>
      <c r="V57" s="13">
        <f t="shared" si="12"/>
        <v>0</v>
      </c>
    </row>
    <row r="58" spans="2:22" ht="24.75" customHeight="1">
      <c r="B58" s="43">
        <v>2064</v>
      </c>
      <c r="C58" s="27">
        <v>50</v>
      </c>
      <c r="D58" s="24">
        <v>7720</v>
      </c>
      <c r="E58" s="24">
        <v>14723005</v>
      </c>
      <c r="F58" s="83">
        <v>340953.8</v>
      </c>
      <c r="G58" s="24">
        <v>8261.0781055</v>
      </c>
      <c r="H58" s="75">
        <f t="shared" si="16"/>
        <v>59.58</v>
      </c>
      <c r="I58" s="75">
        <f t="shared" si="6"/>
        <v>65.97414185259136</v>
      </c>
      <c r="J58" s="31">
        <f t="shared" si="9"/>
        <v>545017.5387875937</v>
      </c>
      <c r="K58" s="29">
        <v>8739.35104845</v>
      </c>
      <c r="L58" s="59">
        <v>9594517.421500001</v>
      </c>
      <c r="M58" s="29">
        <v>1523300.98932</v>
      </c>
      <c r="N58" s="29">
        <f t="shared" si="8"/>
        <v>1383</v>
      </c>
      <c r="O58" s="22">
        <f t="shared" si="13"/>
        <v>11672958.300656045</v>
      </c>
      <c r="P58" s="12">
        <f t="shared" si="14"/>
        <v>2662684.4304702193</v>
      </c>
      <c r="Q58" s="12">
        <f t="shared" si="15"/>
        <v>396270.78008260234</v>
      </c>
      <c r="R58" s="12">
        <v>3420000</v>
      </c>
      <c r="S58" s="4">
        <v>0</v>
      </c>
      <c r="T58" s="11">
        <f t="shared" si="10"/>
        <v>3420000</v>
      </c>
      <c r="U58" s="12">
        <f t="shared" si="11"/>
        <v>780126.2128809586</v>
      </c>
      <c r="V58" s="13">
        <f t="shared" si="12"/>
        <v>116101.33720826641</v>
      </c>
    </row>
    <row r="59" spans="3:22" ht="30" customHeight="1">
      <c r="C59" s="6"/>
      <c r="J59" s="51"/>
      <c r="K59" s="51"/>
      <c r="L59" s="51"/>
      <c r="M59" s="51"/>
      <c r="N59" s="51"/>
      <c r="O59" s="51"/>
      <c r="P59" s="95" t="s">
        <v>7</v>
      </c>
      <c r="Q59" s="94"/>
      <c r="U59" s="92" t="s">
        <v>8</v>
      </c>
      <c r="V59" s="94"/>
    </row>
    <row r="60" spans="3:22" ht="24.75" customHeight="1">
      <c r="C60" s="7"/>
      <c r="D60" s="7"/>
      <c r="E60" s="46"/>
      <c r="F60" s="46"/>
      <c r="G60" s="7"/>
      <c r="H60" s="7"/>
      <c r="I60" s="58" t="s">
        <v>5</v>
      </c>
      <c r="J60" s="52">
        <f>NPV($D$63,J10:J58)</f>
        <v>10882631.062197072</v>
      </c>
      <c r="K60" s="52">
        <f>NPV($D$63,K10:K58)</f>
        <v>210400.2867746521</v>
      </c>
      <c r="L60" s="52">
        <f>NPV($D$63,L10:L58)</f>
        <v>232181057.27102995</v>
      </c>
      <c r="M60" s="52">
        <f>NPV($D$63,M10:M58)</f>
        <v>37045189.23773911</v>
      </c>
      <c r="N60" s="52">
        <f>NPV($D$63,N10:N58)</f>
        <v>35268.79153034309</v>
      </c>
      <c r="O60" s="52"/>
      <c r="P60" s="54">
        <f>SUM(P9:P58)</f>
        <v>272188880.242011</v>
      </c>
      <c r="Q60" s="10">
        <f>SUM(Q9:Q58)</f>
        <v>137564332.21041122</v>
      </c>
      <c r="U60" s="10">
        <f>SUM(U9:U58)</f>
        <v>14089314.717246</v>
      </c>
      <c r="V60" s="10">
        <f>SUM(V9:V58)</f>
        <v>12362971.029633531</v>
      </c>
    </row>
    <row r="61" spans="3:22" ht="29.25" customHeight="1">
      <c r="C61" s="7"/>
      <c r="D61" s="36"/>
      <c r="E61" s="36"/>
      <c r="F61" s="36"/>
      <c r="G61" s="36"/>
      <c r="H61" s="36"/>
      <c r="I61" s="53" t="s">
        <v>16</v>
      </c>
      <c r="J61" s="53">
        <f>NPV($G$63,J10:J58)</f>
        <v>5373466.995517742</v>
      </c>
      <c r="K61" s="53">
        <f>NPV($G$63,K10:K58)</f>
        <v>110501.55537846425</v>
      </c>
      <c r="L61" s="53">
        <f>NPV($G$63,L10:L58)</f>
        <v>122163628.00817621</v>
      </c>
      <c r="M61" s="53">
        <f>NPV($G$63,M10:M58)</f>
        <v>19527199.42369409</v>
      </c>
      <c r="N61" s="53">
        <f>NPV($G$63,N10:N58)</f>
        <v>19039.482373374394</v>
      </c>
      <c r="O61" s="53"/>
      <c r="P61" s="37"/>
      <c r="Q61" s="8"/>
      <c r="U61" s="9"/>
      <c r="V61" s="34"/>
    </row>
    <row r="62" spans="2:22" ht="24.75" customHeight="1">
      <c r="B62" s="81" t="s">
        <v>1</v>
      </c>
      <c r="C62" s="38"/>
      <c r="D62" s="38"/>
      <c r="E62" s="38"/>
      <c r="F62" s="38"/>
      <c r="G62" s="39"/>
      <c r="H62" s="35"/>
      <c r="I62" s="35"/>
      <c r="J62" s="35"/>
      <c r="K62" s="35"/>
      <c r="O62" s="33"/>
      <c r="P62" s="33"/>
      <c r="S62" s="92" t="s">
        <v>15</v>
      </c>
      <c r="T62" s="93"/>
      <c r="U62" s="55">
        <f>P60/U60</f>
        <v>19.31881611735443</v>
      </c>
      <c r="V62" s="28" t="s">
        <v>19</v>
      </c>
    </row>
    <row r="63" spans="2:22" ht="24.75" customHeight="1">
      <c r="B63" s="82" t="s">
        <v>9</v>
      </c>
      <c r="C63" s="78"/>
      <c r="D63" s="65">
        <v>0.03</v>
      </c>
      <c r="E63" s="68"/>
      <c r="F63" s="67"/>
      <c r="G63" s="66">
        <v>0.07</v>
      </c>
      <c r="H63" s="16"/>
      <c r="I63" s="16"/>
      <c r="O63" s="19"/>
      <c r="P63" s="76"/>
      <c r="Q63" s="19"/>
      <c r="R63" s="2"/>
      <c r="S63" s="19"/>
      <c r="T63" s="19"/>
      <c r="U63" s="55">
        <f>Q60/V60</f>
        <v>11.127125662648178</v>
      </c>
      <c r="V63" s="28" t="s">
        <v>20</v>
      </c>
    </row>
    <row r="64" spans="2:23" ht="21.75" customHeight="1">
      <c r="B64" s="14" t="s">
        <v>31</v>
      </c>
      <c r="C64" s="20"/>
      <c r="D64" s="40"/>
      <c r="E64" s="47"/>
      <c r="F64" s="47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48"/>
      <c r="S64" s="16"/>
      <c r="T64" s="16"/>
      <c r="U64" s="16"/>
      <c r="V64" s="16"/>
      <c r="W64" s="16"/>
    </row>
    <row r="65" spans="2:23" ht="21.75" customHeight="1">
      <c r="B65" s="14" t="s">
        <v>35</v>
      </c>
      <c r="C65" s="6"/>
      <c r="D65" s="47"/>
      <c r="E65" s="47"/>
      <c r="F65" s="47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48"/>
      <c r="S65" s="16"/>
      <c r="T65" s="16"/>
      <c r="U65" s="16"/>
      <c r="V65" s="16"/>
      <c r="W65" s="16"/>
    </row>
    <row r="66" spans="2:23" ht="21.75" customHeight="1">
      <c r="B66" s="14" t="s">
        <v>39</v>
      </c>
      <c r="C66" s="6"/>
      <c r="D66" s="47"/>
      <c r="E66" s="47"/>
      <c r="F66" s="47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48"/>
      <c r="S66" s="16"/>
      <c r="T66" s="16"/>
      <c r="U66" s="16"/>
      <c r="V66" s="16"/>
      <c r="W66" s="16"/>
    </row>
    <row r="67" spans="2:23" ht="21.75" customHeight="1">
      <c r="B67" s="14" t="s">
        <v>32</v>
      </c>
      <c r="C67" s="6"/>
      <c r="D67" s="47"/>
      <c r="E67" s="47"/>
      <c r="F67" s="47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48"/>
      <c r="S67" s="16"/>
      <c r="T67" s="16"/>
      <c r="U67" s="16"/>
      <c r="V67" s="16"/>
      <c r="W67" s="16"/>
    </row>
    <row r="68" spans="2:23" ht="21.75" customHeight="1">
      <c r="B68" s="14" t="s">
        <v>34</v>
      </c>
      <c r="C68" s="6"/>
      <c r="D68" s="47"/>
      <c r="E68" s="47"/>
      <c r="F68" s="47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48"/>
      <c r="S68" s="16"/>
      <c r="T68" s="16"/>
      <c r="U68" s="16"/>
      <c r="V68" s="16"/>
      <c r="W68" s="16"/>
    </row>
    <row r="69" spans="2:23" ht="21.75" customHeight="1">
      <c r="B69" s="18" t="s">
        <v>37</v>
      </c>
      <c r="C69" s="2"/>
      <c r="D69" s="49"/>
      <c r="E69" s="49"/>
      <c r="F69" s="49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50"/>
      <c r="S69" s="16"/>
      <c r="T69" s="16"/>
      <c r="U69" s="16"/>
      <c r="V69" s="16"/>
      <c r="W69" s="16"/>
    </row>
    <row r="71" spans="4:23" ht="21.75" customHeight="1">
      <c r="D71" s="46"/>
      <c r="E71" s="46"/>
      <c r="F71" s="4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S71" s="16"/>
      <c r="T71" s="16"/>
      <c r="U71" s="16"/>
      <c r="V71" s="16"/>
      <c r="W71" s="17"/>
    </row>
  </sheetData>
  <sheetProtection/>
  <mergeCells count="9">
    <mergeCell ref="B2:J2"/>
    <mergeCell ref="B4:J4"/>
    <mergeCell ref="S62:T62"/>
    <mergeCell ref="U7:V7"/>
    <mergeCell ref="P59:Q59"/>
    <mergeCell ref="U59:V59"/>
    <mergeCell ref="R7:T7"/>
    <mergeCell ref="P7:Q7"/>
    <mergeCell ref="B3:J3"/>
  </mergeCells>
  <hyperlinks>
    <hyperlink ref="I61" r:id="rId1" display="PV@ 7%"/>
  </hyperlinks>
  <printOptions/>
  <pageMargins left="0.75" right="0.75" top="1" bottom="1" header="0.5" footer="0.5"/>
  <pageSetup fitToHeight="0" fitToWidth="1" horizontalDpi="600" verticalDpi="600" orientation="landscape" scale="3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Maine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Maine</dc:creator>
  <cp:keywords/>
  <dc:description/>
  <cp:lastModifiedBy>Mitchell, Kip</cp:lastModifiedBy>
  <cp:lastPrinted>2014-04-15T13:10:47Z</cp:lastPrinted>
  <dcterms:created xsi:type="dcterms:W3CDTF">2011-09-16T18:46:14Z</dcterms:created>
  <dcterms:modified xsi:type="dcterms:W3CDTF">2014-04-22T00:06:27Z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