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<sst xmlns="http://schemas.openxmlformats.org/spreadsheetml/2006/main" count="87" uniqueCount="50">
  <si>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r>
      <t xml:space="preserve">PROJECT: </t>
    </r>
    <r>
      <rPr>
        <u val="single"/>
        <sz val="12"/>
        <color indexed="12"/>
        <rFont val="Arial"/>
        <family val="2"/>
      </rPr>
      <t>Peru-Mexico, North Main Street over the Androscoggin River (Bridge No. 2019)</t>
    </r>
  </si>
  <si>
    <r>
      <t xml:space="preserve">WIN: </t>
    </r>
    <r>
      <rPr>
        <u val="single"/>
        <sz val="12"/>
        <color indexed="12"/>
        <rFont val="Arial"/>
        <family val="2"/>
      </rPr>
      <t>18498.00</t>
    </r>
  </si>
  <si>
    <r>
      <t>Alternative D: 840' Bridge Replacement Alternative 
Deck Area: 840’ total length x 40.25' width = 33,810 SF</t>
    </r>
    <r>
      <rPr>
        <sz val="12"/>
        <color indexed="12"/>
        <rFont val="Arial"/>
        <family val="2"/>
      </rPr>
      <t xml:space="preserve">                                              </t>
    </r>
    <r>
      <rPr>
        <u val="single"/>
        <sz val="12"/>
        <color indexed="12"/>
        <rFont val="Arial"/>
        <family val="2"/>
      </rPr>
      <t>5 Span Option</t>
    </r>
  </si>
  <si>
    <r>
      <t xml:space="preserve">ESTIMATED BY:  </t>
    </r>
    <r>
      <rPr>
        <u val="single"/>
        <sz val="12"/>
        <color indexed="12"/>
        <rFont val="Arial"/>
        <family val="2"/>
      </rPr>
      <t>DMK</t>
    </r>
  </si>
  <si>
    <t>Unit Cost Reference:</t>
  </si>
  <si>
    <t>SUPERSTRUCTURE:</t>
  </si>
  <si>
    <t>SF</t>
  </si>
  <si>
    <t>x</t>
  </si>
  <si>
    <t>=</t>
  </si>
  <si>
    <t>Rumford Bid Tab Super Cost/SF = $122 (Average of 3 low bids). Low bid unit cost of 111 $/sf.</t>
  </si>
  <si>
    <t>ABUTMENTS:</t>
  </si>
  <si>
    <t>EA</t>
  </si>
  <si>
    <t>Assume full height abuts on  piles. Say 600 k for abutments. Assume larger cost since 1 abutments close to RR.</t>
  </si>
  <si>
    <t>PIERS:</t>
  </si>
  <si>
    <t>3 Piers @ $550,000 per pier. Reference Rumford average pier cost.</t>
  </si>
  <si>
    <t>PIER COFFERDAMS:</t>
  </si>
  <si>
    <t>Ref Rumford Martin Bid Tabs. Say 2 Piers in the water require cofferdam.</t>
  </si>
  <si>
    <t>STRUCTURAL EXCAVATION: ABUTMENTS</t>
  </si>
  <si>
    <t>CY</t>
  </si>
  <si>
    <t xml:space="preserve">Excavation cost  for piers assumed in pier unit cost. </t>
  </si>
  <si>
    <t>RIPRAP:</t>
  </si>
  <si>
    <t>EXISTING BRIDGE REMOVAL:</t>
  </si>
  <si>
    <t>Ref Rumford Martin Bid Tabs. Average of 3 bids is $375,000</t>
  </si>
  <si>
    <t>DETOUR AND/OR TEMPORARY BRIDGE:</t>
  </si>
  <si>
    <t>LS</t>
  </si>
  <si>
    <t>INCENTIVE ALLOWANCE:</t>
  </si>
  <si>
    <t>N/A</t>
  </si>
  <si>
    <t>MISCELLANEOUS (TCP'S, FIELD OFFICE, ETC.):</t>
  </si>
  <si>
    <t xml:space="preserve"> </t>
  </si>
  <si>
    <t>MOBILIZATION:</t>
  </si>
  <si>
    <t>STRUCTURE SUBTOTAL</t>
  </si>
  <si>
    <t>Bridge Cost per SF</t>
  </si>
  <si>
    <t>APPROACHES:</t>
  </si>
  <si>
    <t>LF</t>
  </si>
  <si>
    <t>1500 lf is for both approaches.</t>
  </si>
  <si>
    <t>RETAINING WALL STRUCTURES:</t>
  </si>
  <si>
    <t>Based on Kittery Average of 65$/sf for 1600 sf. Say 40 due to large volume and no rock excavation. Say 600 $/lf due to height of fill required.</t>
  </si>
  <si>
    <t>MISCELLANEOUS:</t>
  </si>
  <si>
    <t>APPROACHES SUBTOTAL</t>
  </si>
  <si>
    <t>TOTAL CONSTRUCTION COST</t>
  </si>
  <si>
    <t>Preliminary Percentage:</t>
  </si>
  <si>
    <t>Preliminary Value:</t>
  </si>
  <si>
    <t>Manual Value Override:</t>
  </si>
  <si>
    <t>PRELIMINARY ENGINEERING:</t>
  </si>
  <si>
    <t>RIGHT OF WAY:</t>
  </si>
  <si>
    <t>CONSTRUCTION ENGINEERING:</t>
  </si>
  <si>
    <t xml:space="preserve">OTHER:  </t>
  </si>
  <si>
    <t>Use 8% &amp; 8% Based on Rumford Martin and Steep Falls Values</t>
  </si>
  <si>
    <t>TOTAL PROJECT COST</t>
  </si>
  <si>
    <t>NOTE: Enter PE and CE percentage and value override (if needed) in green cells. Do NOT enter override values for both PE and 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</si>
</sst>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2"/>
      <color indexed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right" vertical="center" wrapText="1"/>
    </xf>
    <xf numFmtId="8" fontId="0" fillId="0" borderId="0" xfId="0" applyNumberFormat="1" applyAlignment="1">
      <alignment/>
    </xf>
    <xf numFmtId="9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 wrapText="1"/>
    </xf>
    <xf numFmtId="6" fontId="3" fillId="0" borderId="10" xfId="0" applyNumberFormat="1" applyFont="1" applyFill="1" applyBorder="1" applyAlignment="1">
      <alignment horizontal="right" vertical="center" wrapText="1"/>
    </xf>
    <xf numFmtId="6" fontId="2" fillId="0" borderId="10" xfId="0" applyNumberFormat="1" applyFont="1" applyBorder="1" applyAlignment="1">
      <alignment horizontal="right" vertical="center" wrapText="1"/>
    </xf>
    <xf numFmtId="8" fontId="9" fillId="0" borderId="0" xfId="0" applyNumberFormat="1" applyFont="1" applyAlignment="1">
      <alignment vertical="center"/>
    </xf>
    <xf numFmtId="8" fontId="0" fillId="0" borderId="11" xfId="0" applyNumberFormat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6" fontId="11" fillId="0" borderId="10" xfId="0" applyNumberFormat="1" applyFont="1" applyBorder="1" applyAlignment="1">
      <alignment horizontal="right" vertical="center" wrapText="1"/>
    </xf>
    <xf numFmtId="6" fontId="3" fillId="0" borderId="10" xfId="0" applyNumberFormat="1" applyFont="1" applyBorder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6" fontId="14" fillId="0" borderId="10" xfId="0" applyNumberFormat="1" applyFont="1" applyBorder="1" applyAlignment="1">
      <alignment horizontal="right" vertical="center" wrapText="1"/>
    </xf>
    <xf numFmtId="6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9" fontId="3" fillId="33" borderId="10" xfId="0" applyNumberFormat="1" applyFont="1" applyFill="1" applyBorder="1" applyAlignment="1">
      <alignment horizontal="right" vertical="center" indent="1"/>
    </xf>
    <xf numFmtId="0" fontId="7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2" fillId="0" borderId="12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8" fillId="0" borderId="21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6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4.7109375" style="0" customWidth="1"/>
    <col min="4" max="5" width="10.7109375" style="0" customWidth="1"/>
    <col min="6" max="6" width="20.7109375" style="0" customWidth="1"/>
    <col min="7" max="7" width="6.7109375" style="0" customWidth="1"/>
    <col min="8" max="8" width="22.7109375" style="0" customWidth="1"/>
    <col min="10" max="15" width="14.7109375" style="0" customWidth="1"/>
    <col min="16" max="16" width="29.7109375" style="0" customWidth="1"/>
  </cols>
  <sheetData>
    <row r="1" spans="1:10" ht="15">
      <c r="A1" s="28" t="s">
        <v>0</v>
      </c>
      <c r="B1" s="29"/>
      <c r="C1" s="29"/>
      <c r="D1" s="29"/>
      <c r="E1" s="30"/>
      <c r="F1" s="34" t="s">
        <v>1</v>
      </c>
      <c r="G1" s="35"/>
      <c r="H1" s="36"/>
      <c r="J1" s="1"/>
    </row>
    <row r="2" spans="1:8" ht="15">
      <c r="A2" s="31"/>
      <c r="B2" s="32"/>
      <c r="C2" s="32"/>
      <c r="D2" s="32"/>
      <c r="E2" s="33"/>
      <c r="F2" s="37"/>
      <c r="G2" s="38"/>
      <c r="H2" s="39"/>
    </row>
    <row r="3" spans="1:8" ht="15">
      <c r="A3" s="43"/>
      <c r="B3" s="45" t="s">
        <v>2</v>
      </c>
      <c r="C3" s="45"/>
      <c r="D3" s="45"/>
      <c r="E3" s="46"/>
      <c r="F3" s="40"/>
      <c r="G3" s="41"/>
      <c r="H3" s="42"/>
    </row>
    <row r="4" spans="1:8" ht="15">
      <c r="A4" s="43"/>
      <c r="B4" s="45"/>
      <c r="C4" s="45"/>
      <c r="D4" s="45"/>
      <c r="E4" s="46"/>
      <c r="F4" s="49" t="s">
        <v>3</v>
      </c>
      <c r="G4" s="50"/>
      <c r="H4" s="51"/>
    </row>
    <row r="5" spans="1:16" ht="15">
      <c r="A5" s="44"/>
      <c r="B5" s="47"/>
      <c r="C5" s="47"/>
      <c r="D5" s="47"/>
      <c r="E5" s="48"/>
      <c r="F5" s="52"/>
      <c r="G5" s="53"/>
      <c r="H5" s="54"/>
      <c r="J5" s="27" t="s">
        <v>4</v>
      </c>
      <c r="K5" s="27"/>
      <c r="L5" s="27"/>
      <c r="M5" s="27"/>
      <c r="N5" s="27"/>
      <c r="O5" s="27"/>
      <c r="P5" s="27"/>
    </row>
    <row r="6" spans="1:16" ht="15">
      <c r="A6" s="55"/>
      <c r="B6" s="55"/>
      <c r="C6" s="55"/>
      <c r="D6" s="55"/>
      <c r="E6" s="55"/>
      <c r="F6" s="55"/>
      <c r="G6" s="55"/>
      <c r="H6" s="55"/>
      <c r="J6" s="56"/>
      <c r="K6" s="56"/>
      <c r="L6" s="56"/>
      <c r="M6" s="56"/>
      <c r="N6" s="56"/>
      <c r="O6" s="56"/>
      <c r="P6" s="56"/>
    </row>
    <row r="7" spans="1:16" ht="15.75">
      <c r="A7" s="57" t="s">
        <v>5</v>
      </c>
      <c r="B7" s="55"/>
      <c r="C7" s="2">
        <v>33810</v>
      </c>
      <c r="D7" s="24" t="s">
        <v>6</v>
      </c>
      <c r="E7" s="3" t="s">
        <v>7</v>
      </c>
      <c r="F7" s="4">
        <v>120</v>
      </c>
      <c r="G7" s="5" t="s">
        <v>8</v>
      </c>
      <c r="H7" s="6">
        <f aca="true" t="shared" si="0" ref="H7:H14">ROUNDUP(C7*F7,-3)</f>
        <v>4058000</v>
      </c>
      <c r="I7" s="7"/>
      <c r="J7" s="58" t="s">
        <v>9</v>
      </c>
      <c r="K7" s="58"/>
      <c r="L7" s="58"/>
      <c r="M7" s="58"/>
      <c r="N7" s="58"/>
      <c r="O7" s="58"/>
      <c r="P7" s="58"/>
    </row>
    <row r="8" spans="1:16" ht="15.75">
      <c r="A8" s="57" t="s">
        <v>10</v>
      </c>
      <c r="B8" s="55"/>
      <c r="C8" s="2">
        <v>2</v>
      </c>
      <c r="D8" s="24" t="s">
        <v>11</v>
      </c>
      <c r="E8" s="3" t="s">
        <v>7</v>
      </c>
      <c r="F8" s="4">
        <v>550000</v>
      </c>
      <c r="G8" s="5" t="s">
        <v>8</v>
      </c>
      <c r="H8" s="6">
        <f t="shared" si="0"/>
        <v>1100000</v>
      </c>
      <c r="J8" s="59" t="s">
        <v>12</v>
      </c>
      <c r="K8" s="59"/>
      <c r="L8" s="59"/>
      <c r="M8" s="59"/>
      <c r="N8" s="59"/>
      <c r="O8" s="59"/>
      <c r="P8" s="59"/>
    </row>
    <row r="9" spans="1:16" ht="15.75">
      <c r="A9" s="60" t="s">
        <v>13</v>
      </c>
      <c r="B9" s="61"/>
      <c r="C9" s="2">
        <v>4</v>
      </c>
      <c r="D9" s="24" t="s">
        <v>11</v>
      </c>
      <c r="E9" s="3" t="s">
        <v>7</v>
      </c>
      <c r="F9" s="4">
        <v>500000</v>
      </c>
      <c r="G9" s="5" t="s">
        <v>8</v>
      </c>
      <c r="H9" s="6">
        <f t="shared" si="0"/>
        <v>2000000</v>
      </c>
      <c r="J9" s="59" t="s">
        <v>14</v>
      </c>
      <c r="K9" s="59"/>
      <c r="L9" s="59"/>
      <c r="M9" s="59"/>
      <c r="N9" s="59"/>
      <c r="O9" s="59"/>
      <c r="P9" s="59"/>
    </row>
    <row r="10" spans="1:16" ht="15.75">
      <c r="A10" s="60" t="s">
        <v>15</v>
      </c>
      <c r="B10" s="61"/>
      <c r="C10" s="2">
        <v>2</v>
      </c>
      <c r="D10" s="25" t="s">
        <v>11</v>
      </c>
      <c r="E10" s="5" t="s">
        <v>7</v>
      </c>
      <c r="F10" s="4">
        <v>200000</v>
      </c>
      <c r="G10" s="5" t="s">
        <v>8</v>
      </c>
      <c r="H10" s="6">
        <f t="shared" si="0"/>
        <v>400000</v>
      </c>
      <c r="J10" s="62" t="s">
        <v>16</v>
      </c>
      <c r="K10" s="62"/>
      <c r="L10" s="62"/>
      <c r="M10" s="62"/>
      <c r="N10" s="62"/>
      <c r="O10" s="62"/>
      <c r="P10" s="62"/>
    </row>
    <row r="11" spans="1:16" ht="15.75">
      <c r="A11" s="57" t="s">
        <v>17</v>
      </c>
      <c r="B11" s="55"/>
      <c r="C11" s="2">
        <v>600</v>
      </c>
      <c r="D11" s="25" t="s">
        <v>18</v>
      </c>
      <c r="E11" s="5" t="s">
        <v>7</v>
      </c>
      <c r="F11" s="4">
        <v>40</v>
      </c>
      <c r="G11" s="5" t="s">
        <v>8</v>
      </c>
      <c r="H11" s="6">
        <f t="shared" si="0"/>
        <v>24000</v>
      </c>
      <c r="J11" s="62" t="s">
        <v>19</v>
      </c>
      <c r="K11" s="62"/>
      <c r="L11" s="62"/>
      <c r="M11" s="62"/>
      <c r="N11" s="62"/>
      <c r="O11" s="62"/>
      <c r="P11" s="62"/>
    </row>
    <row r="12" spans="1:16" ht="15.75">
      <c r="A12" s="57" t="s">
        <v>20</v>
      </c>
      <c r="B12" s="55"/>
      <c r="C12" s="2">
        <v>0</v>
      </c>
      <c r="D12" s="24" t="s">
        <v>18</v>
      </c>
      <c r="E12" s="3" t="s">
        <v>7</v>
      </c>
      <c r="F12" s="4"/>
      <c r="G12" s="5" t="s">
        <v>8</v>
      </c>
      <c r="H12" s="6">
        <f t="shared" si="0"/>
        <v>0</v>
      </c>
      <c r="J12" s="63"/>
      <c r="K12" s="63"/>
      <c r="L12" s="63"/>
      <c r="M12" s="63"/>
      <c r="N12" s="63"/>
      <c r="O12" s="63"/>
      <c r="P12" s="63"/>
    </row>
    <row r="13" spans="1:16" ht="15.75">
      <c r="A13" s="57" t="s">
        <v>21</v>
      </c>
      <c r="B13" s="55"/>
      <c r="C13" s="2">
        <v>13200</v>
      </c>
      <c r="D13" s="25" t="s">
        <v>6</v>
      </c>
      <c r="E13" s="5" t="s">
        <v>7</v>
      </c>
      <c r="F13" s="4">
        <v>30</v>
      </c>
      <c r="G13" s="5" t="s">
        <v>8</v>
      </c>
      <c r="H13" s="6">
        <f t="shared" si="0"/>
        <v>396000</v>
      </c>
      <c r="J13" s="64" t="s">
        <v>22</v>
      </c>
      <c r="K13" s="65"/>
      <c r="L13" s="65"/>
      <c r="M13" s="65"/>
      <c r="N13" s="65"/>
      <c r="O13" s="65"/>
      <c r="P13" s="65"/>
    </row>
    <row r="14" spans="1:16" ht="15.75">
      <c r="A14" s="57" t="s">
        <v>23</v>
      </c>
      <c r="B14" s="55"/>
      <c r="C14" s="2">
        <v>0</v>
      </c>
      <c r="D14" s="24" t="s">
        <v>24</v>
      </c>
      <c r="E14" s="3" t="s">
        <v>7</v>
      </c>
      <c r="F14" s="4"/>
      <c r="G14" s="5" t="s">
        <v>8</v>
      </c>
      <c r="H14" s="6">
        <f t="shared" si="0"/>
        <v>0</v>
      </c>
      <c r="J14" s="56"/>
      <c r="K14" s="56"/>
      <c r="L14" s="56"/>
      <c r="M14" s="56"/>
      <c r="N14" s="56"/>
      <c r="O14" s="56"/>
      <c r="P14" s="56"/>
    </row>
    <row r="15" spans="1:16" ht="15.75">
      <c r="A15" s="66" t="s">
        <v>25</v>
      </c>
      <c r="B15" s="55"/>
      <c r="C15" s="55"/>
      <c r="D15" s="55"/>
      <c r="E15" s="55"/>
      <c r="F15" s="8" t="s">
        <v>26</v>
      </c>
      <c r="G15" s="5" t="s">
        <v>8</v>
      </c>
      <c r="H15" s="6">
        <f>IF(F15="N/A",0,ROUNDUP(F15*SUM(H7:H14),-3))</f>
        <v>0</v>
      </c>
      <c r="J15" s="56"/>
      <c r="K15" s="56"/>
      <c r="L15" s="56"/>
      <c r="M15" s="56"/>
      <c r="N15" s="56"/>
      <c r="O15" s="56"/>
      <c r="P15" s="56"/>
    </row>
    <row r="16" spans="1:16" ht="15.75">
      <c r="A16" s="66" t="s">
        <v>27</v>
      </c>
      <c r="B16" s="55"/>
      <c r="C16" s="55"/>
      <c r="D16" s="55"/>
      <c r="E16" s="55"/>
      <c r="F16" s="9">
        <v>0.1</v>
      </c>
      <c r="G16" s="5" t="s">
        <v>8</v>
      </c>
      <c r="H16" s="10">
        <f>ROUNDUP(F16*SUM(H7:H14),-3)</f>
        <v>798000</v>
      </c>
      <c r="J16" s="67" t="s">
        <v>28</v>
      </c>
      <c r="K16" s="67"/>
      <c r="L16" s="67"/>
      <c r="M16" s="67"/>
      <c r="N16" s="67"/>
      <c r="O16" s="67"/>
      <c r="P16" s="67"/>
    </row>
    <row r="17" spans="1:16" ht="15.75">
      <c r="A17" s="66" t="s">
        <v>29</v>
      </c>
      <c r="B17" s="55"/>
      <c r="C17" s="55"/>
      <c r="D17" s="55"/>
      <c r="E17" s="55"/>
      <c r="F17" s="8">
        <v>0.1</v>
      </c>
      <c r="G17" s="5" t="s">
        <v>8</v>
      </c>
      <c r="H17" s="6">
        <f>ROUNDUP(F17*SUM(H7:H14),-3)</f>
        <v>798000</v>
      </c>
      <c r="J17" s="56"/>
      <c r="K17" s="56"/>
      <c r="L17" s="56"/>
      <c r="M17" s="56"/>
      <c r="N17" s="56"/>
      <c r="O17" s="56"/>
      <c r="P17" s="56"/>
    </row>
    <row r="18" spans="1:16" ht="15">
      <c r="A18" s="55"/>
      <c r="B18" s="55"/>
      <c r="C18" s="55"/>
      <c r="D18" s="55"/>
      <c r="E18" s="55"/>
      <c r="F18" s="55"/>
      <c r="G18" s="55"/>
      <c r="H18" s="55"/>
      <c r="J18" s="56"/>
      <c r="K18" s="56"/>
      <c r="L18" s="56"/>
      <c r="M18" s="56"/>
      <c r="N18" s="56"/>
      <c r="O18" s="56"/>
      <c r="P18" s="56"/>
    </row>
    <row r="19" spans="1:16" ht="15.75">
      <c r="A19" s="69" t="s">
        <v>30</v>
      </c>
      <c r="B19" s="70"/>
      <c r="C19" s="70"/>
      <c r="D19" s="70"/>
      <c r="E19" s="70"/>
      <c r="F19" s="71"/>
      <c r="G19" s="5" t="s">
        <v>8</v>
      </c>
      <c r="H19" s="11">
        <f>5000*ROUNDUP(SUM(H7:H17)/5000,0)+IF(IF(5000*ROUNDUP(SUM(H7:H17)/5000,0)+H26&gt;1000000,10000*ROUNDUP((5000*ROUNDUP(SUM(H7:H17)/5000,0)+H26)/10000,0),5000*ROUNDUP((5000*ROUNDUP(SUM(H7:H17)/5000,0)+H26)/5000,0))-H26-5000*ROUNDUP(SUM(H7:H17)/5000,0)=5000,5000,0)</f>
        <v>9580000</v>
      </c>
      <c r="I19" s="12"/>
      <c r="J19" s="72" t="s">
        <v>31</v>
      </c>
      <c r="K19" s="73"/>
      <c r="L19" s="74"/>
      <c r="M19" s="13">
        <f>H19/C7</f>
        <v>283.3481218574386</v>
      </c>
      <c r="N19" s="75"/>
      <c r="O19" s="75"/>
      <c r="P19" s="75"/>
    </row>
    <row r="20" spans="1:16" ht="15">
      <c r="A20" s="55"/>
      <c r="B20" s="55"/>
      <c r="C20" s="55"/>
      <c r="D20" s="55"/>
      <c r="E20" s="55"/>
      <c r="F20" s="55"/>
      <c r="G20" s="55"/>
      <c r="H20" s="55"/>
      <c r="J20" s="56"/>
      <c r="K20" s="56"/>
      <c r="L20" s="56"/>
      <c r="M20" s="56"/>
      <c r="N20" s="56"/>
      <c r="O20" s="56"/>
      <c r="P20" s="56"/>
    </row>
    <row r="21" spans="1:16" ht="15.75">
      <c r="A21" s="57" t="s">
        <v>32</v>
      </c>
      <c r="B21" s="55"/>
      <c r="C21" s="14">
        <v>1500</v>
      </c>
      <c r="D21" s="25" t="s">
        <v>33</v>
      </c>
      <c r="E21" s="5" t="s">
        <v>7</v>
      </c>
      <c r="F21" s="4">
        <v>600</v>
      </c>
      <c r="G21" s="5" t="s">
        <v>8</v>
      </c>
      <c r="H21" s="10">
        <f>ROUNDUP(C21*F21,-3)</f>
        <v>900000</v>
      </c>
      <c r="J21" s="76" t="s">
        <v>34</v>
      </c>
      <c r="K21" s="76"/>
      <c r="L21" s="76"/>
      <c r="M21" s="15"/>
      <c r="N21" s="77"/>
      <c r="O21" s="77"/>
      <c r="P21" s="77"/>
    </row>
    <row r="22" spans="1:16" ht="15.75">
      <c r="A22" s="57" t="s">
        <v>35</v>
      </c>
      <c r="B22" s="55"/>
      <c r="C22" s="14">
        <v>3000</v>
      </c>
      <c r="D22" s="25" t="s">
        <v>6</v>
      </c>
      <c r="E22" s="5" t="s">
        <v>7</v>
      </c>
      <c r="F22" s="4">
        <v>40</v>
      </c>
      <c r="G22" s="5" t="s">
        <v>8</v>
      </c>
      <c r="H22" s="10">
        <f>ROUNDUP(C22*F22,-3)</f>
        <v>120000</v>
      </c>
      <c r="J22" s="78" t="s">
        <v>36</v>
      </c>
      <c r="K22" s="78"/>
      <c r="L22" s="78"/>
      <c r="M22" s="78"/>
      <c r="N22" s="78"/>
      <c r="O22" s="78"/>
      <c r="P22" s="78"/>
    </row>
    <row r="23" spans="1:16" ht="15.75">
      <c r="A23" s="66" t="s">
        <v>37</v>
      </c>
      <c r="B23" s="55"/>
      <c r="C23" s="55"/>
      <c r="D23" s="55"/>
      <c r="E23" s="55"/>
      <c r="F23" s="9">
        <v>0.1</v>
      </c>
      <c r="G23" s="5" t="s">
        <v>8</v>
      </c>
      <c r="H23" s="10">
        <f>ROUNDUP(F23*SUM(H21),-3)</f>
        <v>90000</v>
      </c>
      <c r="J23" s="68"/>
      <c r="K23" s="68"/>
      <c r="L23" s="68"/>
      <c r="M23" s="68"/>
      <c r="N23" s="68"/>
      <c r="O23" s="68"/>
      <c r="P23" s="68"/>
    </row>
    <row r="24" spans="1:16" ht="15.75">
      <c r="A24" s="66" t="s">
        <v>29</v>
      </c>
      <c r="B24" s="55"/>
      <c r="C24" s="55"/>
      <c r="D24" s="55"/>
      <c r="E24" s="55"/>
      <c r="F24" s="9">
        <v>0.1</v>
      </c>
      <c r="G24" s="5" t="s">
        <v>8</v>
      </c>
      <c r="H24" s="6">
        <f>ROUNDUP(F24*SUM(H21),-3)</f>
        <v>90000</v>
      </c>
      <c r="J24" s="56"/>
      <c r="K24" s="56"/>
      <c r="L24" s="56"/>
      <c r="M24" s="56"/>
      <c r="N24" s="56"/>
      <c r="O24" s="56"/>
      <c r="P24" s="56"/>
    </row>
    <row r="25" spans="1:16" ht="15">
      <c r="A25" s="55"/>
      <c r="B25" s="55"/>
      <c r="C25" s="55"/>
      <c r="D25" s="55"/>
      <c r="E25" s="55"/>
      <c r="F25" s="55"/>
      <c r="G25" s="55"/>
      <c r="H25" s="55"/>
      <c r="J25" s="56"/>
      <c r="K25" s="56"/>
      <c r="L25" s="56"/>
      <c r="M25" s="56"/>
      <c r="N25" s="56"/>
      <c r="O25" s="56"/>
      <c r="P25" s="56"/>
    </row>
    <row r="26" spans="1:16" ht="15.75">
      <c r="A26" s="69" t="s">
        <v>38</v>
      </c>
      <c r="B26" s="70"/>
      <c r="C26" s="70"/>
      <c r="D26" s="70"/>
      <c r="E26" s="70"/>
      <c r="F26" s="71"/>
      <c r="G26" s="5" t="s">
        <v>8</v>
      </c>
      <c r="H26" s="11">
        <f>5000*ROUNDUP(SUM(H21:H24)/5000,0)</f>
        <v>1200000</v>
      </c>
      <c r="I26" s="16"/>
      <c r="J26" s="79"/>
      <c r="K26" s="79"/>
      <c r="L26" s="79"/>
      <c r="M26" s="79"/>
      <c r="N26" s="79"/>
      <c r="O26" s="79"/>
      <c r="P26" s="79"/>
    </row>
    <row r="27" spans="1:12" ht="15">
      <c r="A27" s="55"/>
      <c r="B27" s="55"/>
      <c r="C27" s="55"/>
      <c r="D27" s="55"/>
      <c r="E27" s="55"/>
      <c r="F27" s="55"/>
      <c r="G27" s="55"/>
      <c r="H27" s="55"/>
      <c r="J27" s="80"/>
      <c r="K27" s="80"/>
      <c r="L27" s="80"/>
    </row>
    <row r="28" spans="1:16" ht="18">
      <c r="A28" s="81" t="s">
        <v>39</v>
      </c>
      <c r="B28" s="82"/>
      <c r="C28" s="82"/>
      <c r="D28" s="82"/>
      <c r="E28" s="82"/>
      <c r="F28" s="82"/>
      <c r="G28" s="17" t="s">
        <v>8</v>
      </c>
      <c r="H28" s="18">
        <f>IF(H19+H26&gt;1000000,10000*ROUNDUP((H19+H26)/10000,0),5000*ROUNDUP((H19+H26)/5000,0))</f>
        <v>10780000</v>
      </c>
      <c r="I28" s="16"/>
      <c r="J28" s="83" t="s">
        <v>40</v>
      </c>
      <c r="K28" s="83" t="s">
        <v>41</v>
      </c>
      <c r="L28" s="84" t="s">
        <v>42</v>
      </c>
      <c r="M28" s="89" t="s">
        <v>49</v>
      </c>
      <c r="N28" s="80"/>
      <c r="O28" s="16"/>
      <c r="P28" s="16"/>
    </row>
    <row r="29" spans="1:14" ht="15">
      <c r="A29" s="55"/>
      <c r="B29" s="55"/>
      <c r="C29" s="55"/>
      <c r="D29" s="55"/>
      <c r="E29" s="55"/>
      <c r="F29" s="55"/>
      <c r="G29" s="55"/>
      <c r="H29" s="55"/>
      <c r="J29" s="83"/>
      <c r="K29" s="83"/>
      <c r="L29" s="85"/>
      <c r="M29" s="80"/>
      <c r="N29" s="80"/>
    </row>
    <row r="30" spans="1:14" ht="15.75">
      <c r="A30" s="66" t="s">
        <v>43</v>
      </c>
      <c r="B30" s="55"/>
      <c r="C30" s="55"/>
      <c r="D30" s="55"/>
      <c r="E30" s="55"/>
      <c r="F30" s="8">
        <v>0.08</v>
      </c>
      <c r="G30" s="5" t="s">
        <v>8</v>
      </c>
      <c r="H30" s="6">
        <f>IF(L30&lt;&gt;"",L30,H35-H28-IF((H35-H28-H31-H33)*J30/(J30+J32)&gt;1000000,10000*ROUNDUP((H35-H28-H31-H33)*J30/(J30+J32)/10000,0),5000*ROUNDUP((H35-H28-H31-H33)*J30/(J30+J32)/5000,0))-H31-H32-H33+IF((H35-H28-H31-H33)*J30/(J30+J32)&gt;1000000,10000*ROUNDUP((H35-H28-H31-H33)*J30/(J30+J32)/10000,0),5000*ROUNDUP((H35-H28-H31-H33)*J30/(J30+J32)/5000,0)))</f>
        <v>850000</v>
      </c>
      <c r="J30" s="26">
        <v>0.08</v>
      </c>
      <c r="K30" s="19">
        <f>IF(J30*H$28&gt;1000000,10000*ROUNDUP(J30*H$28/10000,0),5000*ROUNDUP(J30*H$28/5000,0))</f>
        <v>865000</v>
      </c>
      <c r="L30" s="20">
        <v>850000</v>
      </c>
      <c r="M30" s="80"/>
      <c r="N30" s="80"/>
    </row>
    <row r="31" spans="1:14" ht="15.75">
      <c r="A31" s="66" t="s">
        <v>44</v>
      </c>
      <c r="B31" s="55"/>
      <c r="C31" s="55"/>
      <c r="D31" s="55"/>
      <c r="E31" s="55"/>
      <c r="F31" s="55"/>
      <c r="G31" s="5" t="s">
        <v>8</v>
      </c>
      <c r="H31" s="10">
        <v>190000</v>
      </c>
      <c r="J31" s="90"/>
      <c r="K31" s="91"/>
      <c r="L31" s="92"/>
      <c r="M31" s="80"/>
      <c r="N31" s="80"/>
    </row>
    <row r="32" spans="1:14" ht="15.75">
      <c r="A32" s="66" t="s">
        <v>45</v>
      </c>
      <c r="B32" s="55"/>
      <c r="C32" s="55"/>
      <c r="D32" s="55"/>
      <c r="E32" s="55"/>
      <c r="F32" s="8">
        <v>0.08</v>
      </c>
      <c r="G32" s="5" t="s">
        <v>8</v>
      </c>
      <c r="H32" s="6">
        <f>IF(L32&lt;&gt;"",L32,IF(L30&lt;&gt;"",IF(H35-H28-H30-H31-H33&gt;1000000,10000*ROUNDUP((H35-H28-H30-H31-H33)/10000,0),5000*ROUNDUP((H35-H28-H30-H31-H33)/5000,0)),IF((H35-H28-H31-H33)*J32/(J30+J32)&gt;1000000,10000*ROUNDUP((H35-H28-H31-H33)*J32/(J30+J32)/10000,0),5000*ROUNDUP((H35-H28-H31-H33)*J32/(J30+J32)/5000,0))))</f>
        <v>850000</v>
      </c>
      <c r="J32" s="26">
        <v>0.08</v>
      </c>
      <c r="K32" s="19">
        <f>IF(J32*H$28&gt;1000000,10000*ROUNDUP(J32*H$28/10000,0),5000*ROUNDUP(J32*H$28/5000,0))</f>
        <v>865000</v>
      </c>
      <c r="L32" s="20">
        <v>850000</v>
      </c>
      <c r="M32" s="80"/>
      <c r="N32" s="80"/>
    </row>
    <row r="33" spans="1:12" ht="15.75">
      <c r="A33" s="66" t="s">
        <v>46</v>
      </c>
      <c r="B33" s="55"/>
      <c r="C33" s="55"/>
      <c r="D33" s="55"/>
      <c r="E33" s="55"/>
      <c r="F33" s="55"/>
      <c r="G33" s="5" t="s">
        <v>8</v>
      </c>
      <c r="H33" s="10">
        <v>0</v>
      </c>
      <c r="J33" s="86" t="s">
        <v>47</v>
      </c>
      <c r="K33" s="86"/>
      <c r="L33" s="86"/>
    </row>
    <row r="34" spans="1:12" ht="15">
      <c r="A34" s="55"/>
      <c r="B34" s="55"/>
      <c r="C34" s="55"/>
      <c r="D34" s="55"/>
      <c r="E34" s="55"/>
      <c r="F34" s="55"/>
      <c r="G34" s="55"/>
      <c r="H34" s="55"/>
      <c r="J34" s="87"/>
      <c r="K34" s="87"/>
      <c r="L34" s="87"/>
    </row>
    <row r="35" spans="1:16" ht="20.25">
      <c r="A35" s="88" t="s">
        <v>48</v>
      </c>
      <c r="B35" s="82"/>
      <c r="C35" s="82"/>
      <c r="D35" s="82"/>
      <c r="E35" s="82"/>
      <c r="F35" s="82"/>
      <c r="G35" s="21" t="s">
        <v>8</v>
      </c>
      <c r="H35" s="22">
        <f>ROUND((H28+H30+H31+H32+H33),-5)</f>
        <v>12700000</v>
      </c>
      <c r="I35" s="16"/>
      <c r="J35" s="87"/>
      <c r="K35" s="87"/>
      <c r="L35" s="87"/>
      <c r="M35" s="23"/>
      <c r="N35" s="16"/>
      <c r="O35" s="16"/>
      <c r="P35" s="16"/>
    </row>
  </sheetData>
  <sheetProtection/>
  <mergeCells count="66">
    <mergeCell ref="A33:F33"/>
    <mergeCell ref="J33:L35"/>
    <mergeCell ref="A34:H34"/>
    <mergeCell ref="A35:F35"/>
    <mergeCell ref="M28:N32"/>
    <mergeCell ref="A29:H29"/>
    <mergeCell ref="A30:E30"/>
    <mergeCell ref="A31:F31"/>
    <mergeCell ref="J31:L31"/>
    <mergeCell ref="A32:E32"/>
    <mergeCell ref="A27:H27"/>
    <mergeCell ref="J27:L27"/>
    <mergeCell ref="A28:F28"/>
    <mergeCell ref="J28:J29"/>
    <mergeCell ref="K28:K29"/>
    <mergeCell ref="L28:L29"/>
    <mergeCell ref="A24:E24"/>
    <mergeCell ref="J24:P24"/>
    <mergeCell ref="A25:H25"/>
    <mergeCell ref="J25:P25"/>
    <mergeCell ref="A26:F26"/>
    <mergeCell ref="J26:P26"/>
    <mergeCell ref="A23:E23"/>
    <mergeCell ref="J23:P23"/>
    <mergeCell ref="A18:H18"/>
    <mergeCell ref="J18:P18"/>
    <mergeCell ref="A19:F19"/>
    <mergeCell ref="J19:L19"/>
    <mergeCell ref="N19:P19"/>
    <mergeCell ref="A20:H20"/>
    <mergeCell ref="J20:P20"/>
    <mergeCell ref="A21:B21"/>
    <mergeCell ref="J21:L21"/>
    <mergeCell ref="N21:P21"/>
    <mergeCell ref="A22:B22"/>
    <mergeCell ref="J22:P22"/>
    <mergeCell ref="A15:E15"/>
    <mergeCell ref="J15:P15"/>
    <mergeCell ref="A16:E16"/>
    <mergeCell ref="J16:P16"/>
    <mergeCell ref="A17:E17"/>
    <mergeCell ref="J17:P17"/>
    <mergeCell ref="A12:B12"/>
    <mergeCell ref="J12:P12"/>
    <mergeCell ref="A13:B13"/>
    <mergeCell ref="J13:P13"/>
    <mergeCell ref="A14:B14"/>
    <mergeCell ref="J14:P14"/>
    <mergeCell ref="A9:B9"/>
    <mergeCell ref="J9:P9"/>
    <mergeCell ref="A10:B10"/>
    <mergeCell ref="J10:P10"/>
    <mergeCell ref="A11:B11"/>
    <mergeCell ref="J11:P11"/>
    <mergeCell ref="A6:H6"/>
    <mergeCell ref="J6:P6"/>
    <mergeCell ref="A7:B7"/>
    <mergeCell ref="J7:P7"/>
    <mergeCell ref="A8:B8"/>
    <mergeCell ref="J8:P8"/>
    <mergeCell ref="J5:P5"/>
    <mergeCell ref="A1:E2"/>
    <mergeCell ref="F1:H3"/>
    <mergeCell ref="A3:A5"/>
    <mergeCell ref="B3:E5"/>
    <mergeCell ref="F4:H5"/>
  </mergeCells>
  <conditionalFormatting sqref="H31 F7:F14 C7:C14 F21:F22 C21:C22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Bacon</dc:creator>
  <cp:keywords/>
  <dc:description/>
  <cp:lastModifiedBy>Mitchell, Kip</cp:lastModifiedBy>
  <dcterms:created xsi:type="dcterms:W3CDTF">2014-04-16T19:00:46Z</dcterms:created>
  <dcterms:modified xsi:type="dcterms:W3CDTF">2014-04-22T00:13:55Z</dcterms:modified>
  <cp:category/>
  <cp:version/>
  <cp:contentType/>
  <cp:contentStatus/>
</cp:coreProperties>
</file>