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rt\Relicensing\Studies\Brook_Habitat\Analysis\"/>
    </mc:Choice>
  </mc:AlternateContent>
  <xr:revisionPtr revIDLastSave="0" documentId="13_ncr:1_{806620C6-4390-4F78-9696-E4B47287E59A}" xr6:coauthVersionLast="46" xr6:coauthVersionMax="46" xr10:uidLastSave="{00000000-0000-0000-0000-000000000000}"/>
  <bookViews>
    <workbookView xWindow="4180" yWindow="140" windowWidth="30360" windowHeight="20860" firstSheet="1" activeTab="16" xr2:uid="{00000000-000D-0000-FFFF-FFFF00000000}"/>
  </bookViews>
  <sheets>
    <sheet name="Transect 2 Flow 3 (2)" sheetId="23" state="hidden" r:id="rId1"/>
    <sheet name="T1M" sheetId="14" r:id="rId2"/>
    <sheet name="T1F1" sheetId="7" r:id="rId3"/>
    <sheet name="T1F2" sheetId="18" r:id="rId4"/>
    <sheet name="T1F3" sheetId="19" r:id="rId5"/>
    <sheet name="T1F4" sheetId="20" r:id="rId6"/>
    <sheet name="T2M" sheetId="15" r:id="rId7"/>
    <sheet name="T2F1" sheetId="5" r:id="rId8"/>
    <sheet name="T2F2" sheetId="21" r:id="rId9"/>
    <sheet name="T2F3" sheetId="22" r:id="rId10"/>
    <sheet name="T2F4" sheetId="24" r:id="rId11"/>
    <sheet name="T3M" sheetId="16" r:id="rId12"/>
    <sheet name="T3F1" sheetId="25" r:id="rId13"/>
    <sheet name="T3F2" sheetId="26" r:id="rId14"/>
    <sheet name="T3F3" sheetId="27" r:id="rId15"/>
    <sheet name="T3F4" sheetId="28" r:id="rId16"/>
    <sheet name="T4M" sheetId="17" r:id="rId17"/>
    <sheet name="T4F1" sheetId="29" r:id="rId18"/>
    <sheet name="T4F2" sheetId="30" r:id="rId19"/>
    <sheet name="T4F3" sheetId="31" r:id="rId20"/>
    <sheet name="T4F4" sheetId="32" r:id="rId21"/>
    <sheet name="T2_tmp" sheetId="35" r:id="rId22"/>
  </sheets>
  <definedNames>
    <definedName name="_xlnm.Print_Titles" localSheetId="2">T1F1!$2:$2</definedName>
    <definedName name="_xlnm.Print_Titles" localSheetId="3">T1F2!$2:$2</definedName>
    <definedName name="_xlnm.Print_Titles" localSheetId="4">T1F3!$2:$2</definedName>
    <definedName name="_xlnm.Print_Titles" localSheetId="5">T1F4!$2:$2</definedName>
    <definedName name="_xlnm.Print_Titles" localSheetId="1">T1M!$1:$2</definedName>
    <definedName name="_xlnm.Print_Titles" localSheetId="7">T2F1!$1:$2</definedName>
    <definedName name="_xlnm.Print_Titles" localSheetId="8">T2F2!$1:$2</definedName>
    <definedName name="_xlnm.Print_Titles" localSheetId="9">T2F3!$1:$2</definedName>
    <definedName name="_xlnm.Print_Titles" localSheetId="10">T2F4!$1:$2</definedName>
    <definedName name="_xlnm.Print_Titles" localSheetId="6">T2M!#REF!</definedName>
    <definedName name="_xlnm.Print_Titles" localSheetId="12">T3F1!$1:$2</definedName>
    <definedName name="_xlnm.Print_Titles" localSheetId="13">T3F2!$1:$2</definedName>
    <definedName name="_xlnm.Print_Titles" localSheetId="14">T3F3!$1:$2</definedName>
    <definedName name="_xlnm.Print_Titles" localSheetId="15">T3F4!$1:$2</definedName>
    <definedName name="_xlnm.Print_Titles" localSheetId="11">T3M!#REF!</definedName>
    <definedName name="_xlnm.Print_Titles" localSheetId="17">T4F1!$1:$2</definedName>
    <definedName name="_xlnm.Print_Titles" localSheetId="18">T4F2!$1:$2</definedName>
    <definedName name="_xlnm.Print_Titles" localSheetId="19">T4F3!$1:$2</definedName>
    <definedName name="_xlnm.Print_Titles" localSheetId="20">T4F4!$1:$2</definedName>
    <definedName name="_xlnm.Print_Titles" localSheetId="16">T4M!#REF!</definedName>
    <definedName name="_xlnm.Print_Titles" localSheetId="0">'Transect 2 Flow 3 (2)'!$1:$2</definedName>
    <definedName name="T1F1_Flat_Level">T1M!$E$62</definedName>
    <definedName name="T1F2_Flat_Level">T1M!$E$80</definedName>
    <definedName name="T1F3_Flat_Level">T1M!$E$108</definedName>
    <definedName name="T1F4_Flat_Level">T1M!$E$127</definedName>
    <definedName name="T2F1_Flat_Level">T2M!$E$81</definedName>
    <definedName name="T2F2_Flat_Level">T2M!$E$106</definedName>
    <definedName name="T2F3_Flat_Level">T2M!$E$137</definedName>
    <definedName name="T2F4_Flat_Level">T2M!$E$167</definedName>
    <definedName name="T3F1_Flat_Level">T3M!$E$89</definedName>
    <definedName name="T3F2_Flat_Level">T3M!$E$109</definedName>
    <definedName name="T3F3_Flat_Level">T3M!$E$141</definedName>
    <definedName name="T3F4_Flat_Level">T3M!$E$167</definedName>
    <definedName name="T4F1_Flat_Level">T4M!$E$78</definedName>
    <definedName name="T4f2_Flat_Level">T4M!$E$97</definedName>
    <definedName name="T4f3_Flat_Level">T4M!$E$124</definedName>
    <definedName name="T4F4_Flat_Level">T4M!$E$145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8" i="17" l="1"/>
  <c r="H81" i="17"/>
  <c r="H100" i="17"/>
  <c r="H127" i="17"/>
  <c r="H92" i="16"/>
  <c r="H112" i="16"/>
  <c r="H144" i="16"/>
  <c r="H170" i="16"/>
  <c r="H84" i="15"/>
  <c r="H109" i="15"/>
  <c r="H140" i="15"/>
  <c r="H170" i="15"/>
  <c r="D150" i="17"/>
  <c r="D172" i="16"/>
  <c r="D172" i="15"/>
  <c r="H65" i="14"/>
  <c r="H83" i="14"/>
  <c r="H111" i="14"/>
  <c r="H130" i="14"/>
  <c r="D132" i="14"/>
  <c r="H169" i="15"/>
  <c r="H139" i="15"/>
  <c r="H108" i="15"/>
  <c r="H83" i="15"/>
  <c r="E84" i="15"/>
  <c r="H51" i="14"/>
  <c r="H50" i="14"/>
  <c r="H49" i="14"/>
  <c r="H48" i="14"/>
  <c r="E56" i="15"/>
  <c r="AL38" i="17"/>
  <c r="AM39" i="17"/>
  <c r="AL6" i="17"/>
  <c r="AK37" i="17"/>
  <c r="AK36" i="17"/>
  <c r="AN6" i="17"/>
  <c r="AN41" i="17"/>
  <c r="AN40" i="17"/>
  <c r="AN39" i="17"/>
  <c r="AN38" i="17"/>
  <c r="AN37" i="17"/>
  <c r="AN36" i="17"/>
  <c r="AL37" i="17"/>
  <c r="AL36" i="17"/>
  <c r="AM38" i="17"/>
  <c r="AM37" i="17"/>
  <c r="AM36" i="17"/>
  <c r="AM6" i="17"/>
  <c r="AN35" i="17"/>
  <c r="AM35" i="17"/>
  <c r="AL35" i="17"/>
  <c r="AK35" i="17"/>
  <c r="AN34" i="17"/>
  <c r="AM34" i="17"/>
  <c r="AL34" i="17"/>
  <c r="AK34" i="17"/>
  <c r="AN33" i="17"/>
  <c r="AM33" i="17"/>
  <c r="AL33" i="17"/>
  <c r="AK33" i="17"/>
  <c r="AN32" i="17"/>
  <c r="AM32" i="17"/>
  <c r="AL32" i="17"/>
  <c r="AK32" i="17"/>
  <c r="AN31" i="17"/>
  <c r="AM31" i="17"/>
  <c r="AL31" i="17"/>
  <c r="AK31" i="17"/>
  <c r="AN30" i="17"/>
  <c r="AM30" i="17"/>
  <c r="AL30" i="17"/>
  <c r="AK30" i="17"/>
  <c r="AN29" i="17"/>
  <c r="AM29" i="17"/>
  <c r="AL29" i="17"/>
  <c r="AK29" i="17"/>
  <c r="AN28" i="17"/>
  <c r="AM28" i="17"/>
  <c r="AL28" i="17"/>
  <c r="AK28" i="17"/>
  <c r="AN27" i="17"/>
  <c r="AM27" i="17"/>
  <c r="AL27" i="17"/>
  <c r="AK27" i="17"/>
  <c r="AN26" i="17"/>
  <c r="AM26" i="17"/>
  <c r="AL26" i="17"/>
  <c r="AK26" i="17"/>
  <c r="AN25" i="17"/>
  <c r="AM25" i="17"/>
  <c r="AL25" i="17"/>
  <c r="AK25" i="17"/>
  <c r="AN24" i="17"/>
  <c r="AM24" i="17"/>
  <c r="AL24" i="17"/>
  <c r="AK24" i="17"/>
  <c r="AN23" i="17"/>
  <c r="AM23" i="17"/>
  <c r="AL23" i="17"/>
  <c r="AK23" i="17"/>
  <c r="AN22" i="17"/>
  <c r="AM22" i="17"/>
  <c r="AL22" i="17"/>
  <c r="AK22" i="17"/>
  <c r="AN21" i="17"/>
  <c r="AM21" i="17"/>
  <c r="AL21" i="17"/>
  <c r="AK21" i="17"/>
  <c r="AN20" i="17"/>
  <c r="AM20" i="17"/>
  <c r="AL20" i="17"/>
  <c r="AK20" i="17"/>
  <c r="AN19" i="17"/>
  <c r="AM19" i="17"/>
  <c r="AL19" i="17"/>
  <c r="AK19" i="17"/>
  <c r="AN18" i="17"/>
  <c r="AM18" i="17"/>
  <c r="AL18" i="17"/>
  <c r="AK18" i="17"/>
  <c r="AN17" i="17"/>
  <c r="AM17" i="17"/>
  <c r="AL17" i="17"/>
  <c r="AK17" i="17"/>
  <c r="AN16" i="17"/>
  <c r="AM16" i="17"/>
  <c r="AL16" i="17"/>
  <c r="AK16" i="17"/>
  <c r="AN15" i="17"/>
  <c r="AM15" i="17"/>
  <c r="AL15" i="17"/>
  <c r="AK15" i="17"/>
  <c r="AN14" i="17"/>
  <c r="AM14" i="17"/>
  <c r="AL14" i="17"/>
  <c r="AK14" i="17"/>
  <c r="AN13" i="17"/>
  <c r="AM13" i="17"/>
  <c r="AL13" i="17"/>
  <c r="AK13" i="17"/>
  <c r="AN12" i="17"/>
  <c r="AM12" i="17"/>
  <c r="AL12" i="17"/>
  <c r="AK12" i="17"/>
  <c r="AN11" i="17"/>
  <c r="AM11" i="17"/>
  <c r="AL11" i="17"/>
  <c r="AK11" i="17"/>
  <c r="AN10" i="17"/>
  <c r="AM10" i="17"/>
  <c r="AL10" i="17"/>
  <c r="AK10" i="17"/>
  <c r="AN9" i="17"/>
  <c r="AM9" i="17"/>
  <c r="AL9" i="17"/>
  <c r="AK9" i="17"/>
  <c r="AN8" i="17"/>
  <c r="AM8" i="17"/>
  <c r="AL8" i="17"/>
  <c r="AK8" i="17"/>
  <c r="AN7" i="17"/>
  <c r="AM7" i="17"/>
  <c r="AL7" i="17"/>
  <c r="AK7" i="17"/>
  <c r="AD25" i="17"/>
  <c r="V25" i="17"/>
  <c r="V12" i="17"/>
  <c r="R14" i="17"/>
  <c r="P35" i="17"/>
  <c r="AI35" i="17" s="1"/>
  <c r="P33" i="17"/>
  <c r="AI33" i="17" s="1"/>
  <c r="P29" i="17"/>
  <c r="AI29" i="17" s="1"/>
  <c r="P25" i="17"/>
  <c r="AI25" i="17" s="1"/>
  <c r="P23" i="17"/>
  <c r="AI23" i="17" s="1"/>
  <c r="P21" i="17"/>
  <c r="AI21" i="17" s="1"/>
  <c r="P17" i="17"/>
  <c r="AI17" i="17" s="1"/>
  <c r="P14" i="17"/>
  <c r="AI14" i="17" s="1"/>
  <c r="P12" i="17"/>
  <c r="AI12" i="17" s="1"/>
  <c r="P10" i="17"/>
  <c r="AI10" i="17" s="1"/>
  <c r="P8" i="17"/>
  <c r="AI8" i="17" s="1"/>
  <c r="D182" i="17"/>
  <c r="D183" i="17" s="1"/>
  <c r="D168" i="17"/>
  <c r="D169" i="17" s="1"/>
  <c r="F166" i="17"/>
  <c r="F165" i="17"/>
  <c r="F164" i="17"/>
  <c r="F163" i="17"/>
  <c r="F161" i="17"/>
  <c r="F160" i="17"/>
  <c r="F159" i="17"/>
  <c r="F157" i="17"/>
  <c r="F156" i="17"/>
  <c r="F154" i="17"/>
  <c r="D170" i="17" l="1"/>
  <c r="F183" i="17"/>
  <c r="D184" i="17"/>
  <c r="F182" i="17"/>
  <c r="D39" i="17"/>
  <c r="D41" i="17"/>
  <c r="P41" i="17" s="1"/>
  <c r="AI41" i="17" s="1"/>
  <c r="D13" i="17"/>
  <c r="D40" i="17"/>
  <c r="D37" i="17"/>
  <c r="D36" i="17"/>
  <c r="D32" i="17"/>
  <c r="D30" i="17"/>
  <c r="D27" i="17"/>
  <c r="D26" i="17"/>
  <c r="D20" i="17"/>
  <c r="D18" i="17"/>
  <c r="D16" i="17"/>
  <c r="C108" i="17"/>
  <c r="C109" i="17"/>
  <c r="J48" i="31"/>
  <c r="J47" i="31"/>
  <c r="J46" i="31"/>
  <c r="J45" i="31"/>
  <c r="J44" i="31"/>
  <c r="N44" i="31" s="1"/>
  <c r="J43" i="31"/>
  <c r="J42" i="31"/>
  <c r="J41" i="31"/>
  <c r="N41" i="31" s="1"/>
  <c r="J40" i="31"/>
  <c r="J39" i="31"/>
  <c r="J38" i="31"/>
  <c r="J37" i="31"/>
  <c r="J36" i="31"/>
  <c r="N36" i="31" s="1"/>
  <c r="J35" i="31"/>
  <c r="J34" i="31"/>
  <c r="J33" i="31"/>
  <c r="N33" i="31" s="1"/>
  <c r="J32" i="31"/>
  <c r="J31" i="31"/>
  <c r="J30" i="31"/>
  <c r="J29" i="31"/>
  <c r="N29" i="31"/>
  <c r="O29" i="31"/>
  <c r="P29" i="31"/>
  <c r="N30" i="31"/>
  <c r="O30" i="31"/>
  <c r="P30" i="31"/>
  <c r="N31" i="31"/>
  <c r="O31" i="31"/>
  <c r="P31" i="31"/>
  <c r="N32" i="31"/>
  <c r="O32" i="31"/>
  <c r="P32" i="31"/>
  <c r="O33" i="31"/>
  <c r="P33" i="31"/>
  <c r="N34" i="31"/>
  <c r="O34" i="31"/>
  <c r="P34" i="31"/>
  <c r="N35" i="31"/>
  <c r="O35" i="31"/>
  <c r="P35" i="31"/>
  <c r="O36" i="31"/>
  <c r="P36" i="31"/>
  <c r="N37" i="31"/>
  <c r="O37" i="31"/>
  <c r="P37" i="31"/>
  <c r="N38" i="31"/>
  <c r="O38" i="31"/>
  <c r="P38" i="31"/>
  <c r="N39" i="31"/>
  <c r="O39" i="31"/>
  <c r="P39" i="31"/>
  <c r="N40" i="31"/>
  <c r="O40" i="31"/>
  <c r="P40" i="31"/>
  <c r="O41" i="31"/>
  <c r="P41" i="31"/>
  <c r="N42" i="31"/>
  <c r="O42" i="31"/>
  <c r="P42" i="31"/>
  <c r="N43" i="31"/>
  <c r="O43" i="31"/>
  <c r="P43" i="31"/>
  <c r="O44" i="31"/>
  <c r="P44" i="31"/>
  <c r="N45" i="31"/>
  <c r="O45" i="31"/>
  <c r="P45" i="31"/>
  <c r="N46" i="31"/>
  <c r="O46" i="31"/>
  <c r="P46" i="31"/>
  <c r="N47" i="31"/>
  <c r="O47" i="31"/>
  <c r="P47" i="31"/>
  <c r="N48" i="31"/>
  <c r="O48" i="31"/>
  <c r="P48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45" i="31"/>
  <c r="C48" i="31"/>
  <c r="C47" i="31"/>
  <c r="C46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D15" i="17"/>
  <c r="D11" i="17"/>
  <c r="D9" i="17"/>
  <c r="D6" i="17"/>
  <c r="D22" i="17"/>
  <c r="L143" i="17"/>
  <c r="L139" i="17"/>
  <c r="L137" i="17"/>
  <c r="L135" i="17"/>
  <c r="L121" i="17"/>
  <c r="L119" i="17"/>
  <c r="L117" i="17"/>
  <c r="L115" i="17"/>
  <c r="L112" i="17"/>
  <c r="L110" i="17"/>
  <c r="L107" i="17"/>
  <c r="L103" i="17"/>
  <c r="L73" i="17"/>
  <c r="L71" i="17"/>
  <c r="L69" i="17"/>
  <c r="L67" i="17"/>
  <c r="L65" i="17"/>
  <c r="C66" i="17"/>
  <c r="V26" i="17" l="1"/>
  <c r="P26" i="17"/>
  <c r="AI26" i="17" s="1"/>
  <c r="Z25" i="17"/>
  <c r="R26" i="17"/>
  <c r="AD26" i="17"/>
  <c r="Z8" i="17"/>
  <c r="P6" i="17"/>
  <c r="AI6" i="17" s="1"/>
  <c r="V32" i="17"/>
  <c r="R32" i="17"/>
  <c r="Z35" i="17"/>
  <c r="Z33" i="17"/>
  <c r="AD32" i="17"/>
  <c r="P32" i="17"/>
  <c r="AI32" i="17" s="1"/>
  <c r="V30" i="17"/>
  <c r="P30" i="17"/>
  <c r="AI30" i="17" s="1"/>
  <c r="R30" i="17"/>
  <c r="AD30" i="17"/>
  <c r="P9" i="17"/>
  <c r="AI9" i="17" s="1"/>
  <c r="V9" i="17"/>
  <c r="AD36" i="17"/>
  <c r="P36" i="17"/>
  <c r="AI36" i="17" s="1"/>
  <c r="AD16" i="17"/>
  <c r="P16" i="17"/>
  <c r="AI16" i="17" s="1"/>
  <c r="R16" i="17"/>
  <c r="V16" i="17"/>
  <c r="AD15" i="17"/>
  <c r="P15" i="17"/>
  <c r="AI15" i="17" s="1"/>
  <c r="V15" i="17"/>
  <c r="R15" i="17"/>
  <c r="AD18" i="17"/>
  <c r="V18" i="17"/>
  <c r="R18" i="17"/>
  <c r="P18" i="17"/>
  <c r="AI18" i="17" s="1"/>
  <c r="P40" i="17"/>
  <c r="AI40" i="17" s="1"/>
  <c r="AD40" i="17"/>
  <c r="V27" i="17"/>
  <c r="P27" i="17"/>
  <c r="AI27" i="17" s="1"/>
  <c r="AD27" i="17"/>
  <c r="R27" i="17"/>
  <c r="AD11" i="17"/>
  <c r="V11" i="17"/>
  <c r="R11" i="17"/>
  <c r="Z14" i="17"/>
  <c r="Z12" i="17"/>
  <c r="P11" i="17"/>
  <c r="AI11" i="17" s="1"/>
  <c r="P37" i="17"/>
  <c r="AI37" i="17" s="1"/>
  <c r="AD37" i="17"/>
  <c r="R20" i="17"/>
  <c r="V20" i="17"/>
  <c r="AD20" i="17"/>
  <c r="P20" i="17"/>
  <c r="AI20" i="17" s="1"/>
  <c r="P13" i="17"/>
  <c r="AI13" i="17" s="1"/>
  <c r="R13" i="17"/>
  <c r="AD14" i="17"/>
  <c r="Z13" i="17"/>
  <c r="AD12" i="17"/>
  <c r="V13" i="17"/>
  <c r="Z21" i="17"/>
  <c r="P22" i="17"/>
  <c r="AI22" i="17" s="1"/>
  <c r="R23" i="17"/>
  <c r="Z39" i="17"/>
  <c r="P39" i="17"/>
  <c r="AI39" i="17" s="1"/>
  <c r="V37" i="17"/>
  <c r="AD39" i="17"/>
  <c r="V36" i="17"/>
  <c r="D185" i="17"/>
  <c r="F184" i="17"/>
  <c r="D171" i="17"/>
  <c r="K142" i="17"/>
  <c r="I142" i="17"/>
  <c r="K141" i="17"/>
  <c r="I141" i="17"/>
  <c r="K140" i="17"/>
  <c r="I140" i="17"/>
  <c r="K138" i="17"/>
  <c r="I138" i="17"/>
  <c r="K136" i="17"/>
  <c r="I136" i="17"/>
  <c r="K134" i="17"/>
  <c r="I134" i="17"/>
  <c r="K133" i="17"/>
  <c r="I133" i="17"/>
  <c r="K132" i="17"/>
  <c r="I132" i="17"/>
  <c r="K131" i="17"/>
  <c r="I131" i="17"/>
  <c r="K130" i="17"/>
  <c r="I130" i="17"/>
  <c r="K122" i="17"/>
  <c r="I122" i="17"/>
  <c r="I121" i="17"/>
  <c r="K120" i="17"/>
  <c r="I120" i="17"/>
  <c r="I119" i="17"/>
  <c r="K118" i="17"/>
  <c r="I118" i="17"/>
  <c r="I117" i="17"/>
  <c r="K116" i="17"/>
  <c r="I116" i="17"/>
  <c r="I115" i="17"/>
  <c r="K114" i="17"/>
  <c r="I114" i="17"/>
  <c r="K113" i="17"/>
  <c r="I113" i="17"/>
  <c r="I112" i="17"/>
  <c r="K111" i="17"/>
  <c r="I111" i="17"/>
  <c r="K109" i="17"/>
  <c r="I109" i="17"/>
  <c r="K108" i="17"/>
  <c r="I108" i="17"/>
  <c r="I107" i="17"/>
  <c r="K106" i="17"/>
  <c r="I106" i="17"/>
  <c r="K105" i="17"/>
  <c r="I105" i="17"/>
  <c r="K104" i="17"/>
  <c r="I104" i="17"/>
  <c r="I103" i="17"/>
  <c r="K95" i="17"/>
  <c r="L95" i="17" s="1"/>
  <c r="I95" i="17"/>
  <c r="K94" i="17"/>
  <c r="I94" i="17"/>
  <c r="K93" i="17"/>
  <c r="I93" i="17"/>
  <c r="K92" i="17"/>
  <c r="I92" i="17"/>
  <c r="K91" i="17"/>
  <c r="I91" i="17"/>
  <c r="K90" i="17"/>
  <c r="I90" i="17"/>
  <c r="K89" i="17"/>
  <c r="I89" i="17"/>
  <c r="K88" i="17"/>
  <c r="I88" i="17"/>
  <c r="K87" i="17"/>
  <c r="I87" i="17"/>
  <c r="K86" i="17"/>
  <c r="I86" i="17"/>
  <c r="K85" i="17"/>
  <c r="I85" i="17"/>
  <c r="K84" i="17"/>
  <c r="L84" i="17" s="1"/>
  <c r="I84" i="17"/>
  <c r="I76" i="17"/>
  <c r="I75" i="17"/>
  <c r="I74" i="17"/>
  <c r="I72" i="17"/>
  <c r="I70" i="17"/>
  <c r="I68" i="17"/>
  <c r="I66" i="17"/>
  <c r="I64" i="17"/>
  <c r="I63" i="17"/>
  <c r="I62" i="17"/>
  <c r="K63" i="17"/>
  <c r="L63" i="17" s="1"/>
  <c r="K76" i="17"/>
  <c r="K75" i="17"/>
  <c r="K74" i="17"/>
  <c r="K72" i="17"/>
  <c r="K70" i="17"/>
  <c r="K68" i="17"/>
  <c r="K66" i="17"/>
  <c r="K64" i="17"/>
  <c r="K62" i="17"/>
  <c r="H69" i="16"/>
  <c r="C143" i="17"/>
  <c r="H143" i="17" s="1"/>
  <c r="M143" i="17" s="1"/>
  <c r="C142" i="17"/>
  <c r="H142" i="17" s="1"/>
  <c r="C141" i="17"/>
  <c r="H141" i="17" s="1"/>
  <c r="C140" i="17"/>
  <c r="H140" i="17" s="1"/>
  <c r="C139" i="17"/>
  <c r="H139" i="17" s="1"/>
  <c r="C138" i="17"/>
  <c r="H138" i="17" s="1"/>
  <c r="C137" i="17"/>
  <c r="H137" i="17" s="1"/>
  <c r="C136" i="17"/>
  <c r="H136" i="17" s="1"/>
  <c r="C135" i="17"/>
  <c r="H135" i="17" s="1"/>
  <c r="C134" i="17"/>
  <c r="H134" i="17" s="1"/>
  <c r="C133" i="17"/>
  <c r="H133" i="17" s="1"/>
  <c r="C132" i="17"/>
  <c r="H132" i="17" s="1"/>
  <c r="C131" i="17"/>
  <c r="H131" i="17" s="1"/>
  <c r="C130" i="17"/>
  <c r="H130" i="17" s="1"/>
  <c r="C122" i="17"/>
  <c r="H122" i="17" s="1"/>
  <c r="C121" i="17"/>
  <c r="H121" i="17" s="1"/>
  <c r="C120" i="17"/>
  <c r="H120" i="17" s="1"/>
  <c r="C119" i="17"/>
  <c r="H119" i="17" s="1"/>
  <c r="C118" i="17"/>
  <c r="H118" i="17" s="1"/>
  <c r="C117" i="17"/>
  <c r="H117" i="17" s="1"/>
  <c r="C116" i="17"/>
  <c r="H116" i="17" s="1"/>
  <c r="C115" i="17"/>
  <c r="H115" i="17" s="1"/>
  <c r="C114" i="17"/>
  <c r="H114" i="17" s="1"/>
  <c r="C113" i="17"/>
  <c r="H113" i="17" s="1"/>
  <c r="C112" i="17"/>
  <c r="H112" i="17" s="1"/>
  <c r="C111" i="17"/>
  <c r="H111" i="17" s="1"/>
  <c r="J111" i="17" s="1"/>
  <c r="C110" i="17"/>
  <c r="H110" i="17" s="1"/>
  <c r="H109" i="17"/>
  <c r="H108" i="17"/>
  <c r="C107" i="17"/>
  <c r="H107" i="17" s="1"/>
  <c r="C106" i="17"/>
  <c r="H106" i="17" s="1"/>
  <c r="C105" i="17"/>
  <c r="H105" i="17" s="1"/>
  <c r="C104" i="17"/>
  <c r="H104" i="17" s="1"/>
  <c r="C103" i="17"/>
  <c r="H103" i="17" s="1"/>
  <c r="C95" i="17"/>
  <c r="H95" i="17" s="1"/>
  <c r="C94" i="17"/>
  <c r="H94" i="17" s="1"/>
  <c r="C93" i="17"/>
  <c r="H93" i="17" s="1"/>
  <c r="C92" i="17"/>
  <c r="H92" i="17" s="1"/>
  <c r="C91" i="17"/>
  <c r="H91" i="17" s="1"/>
  <c r="C90" i="17"/>
  <c r="H90" i="17" s="1"/>
  <c r="C89" i="17"/>
  <c r="H89" i="17" s="1"/>
  <c r="C88" i="17"/>
  <c r="H88" i="17" s="1"/>
  <c r="J87" i="17" s="1"/>
  <c r="L87" i="17" s="1"/>
  <c r="C87" i="17"/>
  <c r="H87" i="17" s="1"/>
  <c r="C86" i="17"/>
  <c r="H86" i="17" s="1"/>
  <c r="C85" i="17"/>
  <c r="H85" i="17" s="1"/>
  <c r="C84" i="17"/>
  <c r="H84" i="17" s="1"/>
  <c r="C76" i="17"/>
  <c r="H76" i="17" s="1"/>
  <c r="C75" i="17"/>
  <c r="H75" i="17" s="1"/>
  <c r="C74" i="17"/>
  <c r="H74" i="17" s="1"/>
  <c r="C73" i="17"/>
  <c r="H73" i="17" s="1"/>
  <c r="J72" i="17" s="1"/>
  <c r="L72" i="17" s="1"/>
  <c r="C71" i="17"/>
  <c r="H71" i="17" s="1"/>
  <c r="C69" i="17"/>
  <c r="H69" i="17" s="1"/>
  <c r="C68" i="17"/>
  <c r="H68" i="17" s="1"/>
  <c r="C67" i="17"/>
  <c r="H67" i="17" s="1"/>
  <c r="H66" i="17"/>
  <c r="C65" i="17"/>
  <c r="H65" i="17" s="1"/>
  <c r="C63" i="17"/>
  <c r="H63" i="17" s="1"/>
  <c r="C62" i="17"/>
  <c r="H62" i="17" s="1"/>
  <c r="J113" i="17" l="1"/>
  <c r="J120" i="17"/>
  <c r="J122" i="17"/>
  <c r="L122" i="17" s="1"/>
  <c r="M122" i="17"/>
  <c r="J108" i="17"/>
  <c r="L108" i="17" s="1"/>
  <c r="J116" i="17"/>
  <c r="J114" i="17"/>
  <c r="L114" i="17" s="1"/>
  <c r="J109" i="17"/>
  <c r="L109" i="17" s="1"/>
  <c r="J118" i="17"/>
  <c r="J130" i="17"/>
  <c r="D186" i="17"/>
  <c r="F185" i="17"/>
  <c r="D172" i="17"/>
  <c r="J133" i="17"/>
  <c r="L133" i="17" s="1"/>
  <c r="J140" i="17"/>
  <c r="L140" i="17" s="1"/>
  <c r="J131" i="17"/>
  <c r="J141" i="17"/>
  <c r="J75" i="17"/>
  <c r="L75" i="17" s="1"/>
  <c r="J136" i="17"/>
  <c r="L136" i="17" s="1"/>
  <c r="J142" i="17"/>
  <c r="L142" i="17" s="1"/>
  <c r="J90" i="17"/>
  <c r="L90" i="17" s="1"/>
  <c r="J132" i="17"/>
  <c r="L132" i="17" s="1"/>
  <c r="J138" i="17"/>
  <c r="L138" i="17" s="1"/>
  <c r="J134" i="17"/>
  <c r="L134" i="17" s="1"/>
  <c r="J68" i="17"/>
  <c r="L68" i="17" s="1"/>
  <c r="L113" i="17"/>
  <c r="L116" i="17"/>
  <c r="L118" i="17"/>
  <c r="L111" i="17"/>
  <c r="L120" i="17"/>
  <c r="J105" i="17"/>
  <c r="L105" i="17" s="1"/>
  <c r="L130" i="17"/>
  <c r="L131" i="17"/>
  <c r="L141" i="17"/>
  <c r="J62" i="17"/>
  <c r="J64" i="17"/>
  <c r="L64" i="17" s="1"/>
  <c r="J70" i="17"/>
  <c r="L70" i="17" s="1"/>
  <c r="M95" i="17"/>
  <c r="J94" i="17"/>
  <c r="L94" i="17" s="1"/>
  <c r="J92" i="17"/>
  <c r="L92" i="17" s="1"/>
  <c r="J85" i="17"/>
  <c r="J93" i="17"/>
  <c r="L93" i="17" s="1"/>
  <c r="J66" i="17"/>
  <c r="L66" i="17" s="1"/>
  <c r="J86" i="17"/>
  <c r="L86" i="17" s="1"/>
  <c r="J91" i="17"/>
  <c r="L91" i="17" s="1"/>
  <c r="J89" i="17"/>
  <c r="L89" i="17" s="1"/>
  <c r="M76" i="17"/>
  <c r="J76" i="17"/>
  <c r="L76" i="17" s="1"/>
  <c r="J74" i="17"/>
  <c r="L74" i="17" s="1"/>
  <c r="J88" i="17"/>
  <c r="L88" i="17" s="1"/>
  <c r="J104" i="17"/>
  <c r="L104" i="17" s="1"/>
  <c r="J106" i="17"/>
  <c r="L106" i="17" s="1"/>
  <c r="B169" i="15"/>
  <c r="B139" i="15"/>
  <c r="B108" i="15"/>
  <c r="E170" i="15"/>
  <c r="E140" i="15"/>
  <c r="E109" i="15"/>
  <c r="B83" i="15"/>
  <c r="AN9" i="16"/>
  <c r="AN8" i="16"/>
  <c r="AN55" i="16"/>
  <c r="AN54" i="16"/>
  <c r="AN53" i="16"/>
  <c r="AN52" i="16"/>
  <c r="AN51" i="16"/>
  <c r="AN50" i="16"/>
  <c r="AN49" i="16"/>
  <c r="AN48" i="16"/>
  <c r="AN47" i="16"/>
  <c r="AN46" i="16"/>
  <c r="AN45" i="16"/>
  <c r="AN44" i="16"/>
  <c r="AN43" i="16"/>
  <c r="AN42" i="16"/>
  <c r="AN41" i="16"/>
  <c r="AN40" i="16"/>
  <c r="AN39" i="16"/>
  <c r="AN38" i="16"/>
  <c r="AN37" i="16"/>
  <c r="AN36" i="16"/>
  <c r="AN35" i="16"/>
  <c r="AN34" i="16"/>
  <c r="AN33" i="16"/>
  <c r="AN32" i="16"/>
  <c r="AN31" i="16"/>
  <c r="AN30" i="16"/>
  <c r="AN29" i="16"/>
  <c r="AN28" i="16"/>
  <c r="AN27" i="16"/>
  <c r="AN26" i="16"/>
  <c r="AN25" i="16"/>
  <c r="AN24" i="16"/>
  <c r="AN23" i="16"/>
  <c r="AN21" i="16"/>
  <c r="AN20" i="16"/>
  <c r="AN19" i="16"/>
  <c r="AN18" i="16"/>
  <c r="AN17" i="16"/>
  <c r="AN16" i="16"/>
  <c r="AN15" i="16"/>
  <c r="AN14" i="16"/>
  <c r="AN13" i="16"/>
  <c r="AN12" i="16"/>
  <c r="L165" i="16"/>
  <c r="L163" i="16"/>
  <c r="L161" i="16"/>
  <c r="L159" i="16"/>
  <c r="L156" i="16"/>
  <c r="L154" i="16"/>
  <c r="L152" i="16"/>
  <c r="K164" i="16"/>
  <c r="K162" i="16"/>
  <c r="K160" i="16"/>
  <c r="K158" i="16"/>
  <c r="K155" i="16"/>
  <c r="K151" i="16"/>
  <c r="K150" i="16"/>
  <c r="K149" i="16"/>
  <c r="K148" i="16"/>
  <c r="K147" i="16"/>
  <c r="H165" i="16"/>
  <c r="I164" i="16"/>
  <c r="H164" i="16"/>
  <c r="H163" i="16"/>
  <c r="I162" i="16"/>
  <c r="H162" i="16"/>
  <c r="H161" i="16"/>
  <c r="I160" i="16"/>
  <c r="H160" i="16"/>
  <c r="H159" i="16"/>
  <c r="I158" i="16"/>
  <c r="H158" i="16"/>
  <c r="H157" i="16"/>
  <c r="H156" i="16"/>
  <c r="I155" i="16"/>
  <c r="H155" i="16"/>
  <c r="H154" i="16"/>
  <c r="I153" i="16"/>
  <c r="H153" i="16"/>
  <c r="I152" i="16"/>
  <c r="H152" i="16"/>
  <c r="I151" i="16"/>
  <c r="H151" i="16"/>
  <c r="I150" i="16"/>
  <c r="H150" i="16"/>
  <c r="I149" i="16"/>
  <c r="J149" i="16" s="1"/>
  <c r="L149" i="16" s="1"/>
  <c r="H149" i="16"/>
  <c r="I148" i="16"/>
  <c r="H148" i="16"/>
  <c r="I147" i="16"/>
  <c r="H147" i="16"/>
  <c r="AM55" i="16"/>
  <c r="AM54" i="16"/>
  <c r="AM53" i="16"/>
  <c r="AM52" i="16"/>
  <c r="AM51" i="16"/>
  <c r="AM50" i="16"/>
  <c r="AM49" i="16"/>
  <c r="AM48" i="16"/>
  <c r="AM47" i="16"/>
  <c r="AM46" i="16"/>
  <c r="AM45" i="16"/>
  <c r="AM44" i="16"/>
  <c r="AM43" i="16"/>
  <c r="AM42" i="16"/>
  <c r="AM41" i="16"/>
  <c r="AM40" i="16"/>
  <c r="AM39" i="16"/>
  <c r="AM38" i="16"/>
  <c r="AM37" i="16"/>
  <c r="AM36" i="16"/>
  <c r="AM35" i="16"/>
  <c r="AM34" i="16"/>
  <c r="AM33" i="16"/>
  <c r="AM32" i="16"/>
  <c r="AM31" i="16"/>
  <c r="AM30" i="16"/>
  <c r="AM29" i="16"/>
  <c r="AM28" i="16"/>
  <c r="AM27" i="16"/>
  <c r="AM26" i="16"/>
  <c r="AM25" i="16"/>
  <c r="AM24" i="16"/>
  <c r="AM23" i="16"/>
  <c r="AM21" i="16"/>
  <c r="AM20" i="16"/>
  <c r="AM19" i="16"/>
  <c r="AM18" i="16"/>
  <c r="AM17" i="16"/>
  <c r="AM16" i="16"/>
  <c r="AM15" i="16"/>
  <c r="AM14" i="16"/>
  <c r="AM13" i="16"/>
  <c r="AM12" i="16"/>
  <c r="L139" i="16"/>
  <c r="L137" i="16"/>
  <c r="L135" i="16"/>
  <c r="L133" i="16"/>
  <c r="L131" i="16"/>
  <c r="L129" i="16"/>
  <c r="L127" i="16"/>
  <c r="L125" i="16"/>
  <c r="L123" i="16"/>
  <c r="L122" i="16"/>
  <c r="L120" i="16"/>
  <c r="L118" i="16"/>
  <c r="L117" i="16"/>
  <c r="L115" i="16"/>
  <c r="K138" i="16"/>
  <c r="L138" i="16" s="1"/>
  <c r="K136" i="16"/>
  <c r="K134" i="16"/>
  <c r="K132" i="16"/>
  <c r="K130" i="16"/>
  <c r="K128" i="16"/>
  <c r="K126" i="16"/>
  <c r="K124" i="16"/>
  <c r="K121" i="16"/>
  <c r="K119" i="16"/>
  <c r="K116" i="16"/>
  <c r="AL55" i="16"/>
  <c r="AL54" i="16"/>
  <c r="AL53" i="16"/>
  <c r="AL52" i="16"/>
  <c r="AL51" i="16"/>
  <c r="AL50" i="16"/>
  <c r="AL49" i="16"/>
  <c r="AL48" i="16"/>
  <c r="AL47" i="16"/>
  <c r="AL46" i="16"/>
  <c r="AL45" i="16"/>
  <c r="AL44" i="16"/>
  <c r="AL43" i="16"/>
  <c r="AL42" i="16"/>
  <c r="AL41" i="16"/>
  <c r="AL40" i="16"/>
  <c r="AL39" i="16"/>
  <c r="AL38" i="16"/>
  <c r="AL37" i="16"/>
  <c r="AL36" i="16"/>
  <c r="AL35" i="16"/>
  <c r="AL34" i="16"/>
  <c r="AL33" i="16"/>
  <c r="AL32" i="16"/>
  <c r="AL31" i="16"/>
  <c r="AL30" i="16"/>
  <c r="AL29" i="16"/>
  <c r="AL28" i="16"/>
  <c r="AL27" i="16"/>
  <c r="AL26" i="16"/>
  <c r="AL25" i="16"/>
  <c r="AL24" i="16"/>
  <c r="AL23" i="16"/>
  <c r="AL21" i="16"/>
  <c r="AL20" i="16"/>
  <c r="AL19" i="16"/>
  <c r="AL18" i="16"/>
  <c r="AL17" i="16"/>
  <c r="AL16" i="16"/>
  <c r="AL15" i="16"/>
  <c r="AL14" i="16"/>
  <c r="AL13" i="16"/>
  <c r="AL12" i="16"/>
  <c r="I139" i="16"/>
  <c r="H139" i="16"/>
  <c r="I138" i="16"/>
  <c r="H138" i="16"/>
  <c r="I137" i="16"/>
  <c r="H137" i="16"/>
  <c r="I136" i="16"/>
  <c r="H136" i="16"/>
  <c r="I135" i="16"/>
  <c r="H135" i="16"/>
  <c r="I134" i="16"/>
  <c r="H134" i="16"/>
  <c r="I133" i="16"/>
  <c r="H133" i="16"/>
  <c r="I132" i="16"/>
  <c r="H132" i="16"/>
  <c r="I131" i="16"/>
  <c r="H131" i="16"/>
  <c r="I130" i="16"/>
  <c r="H130" i="16"/>
  <c r="I129" i="16"/>
  <c r="H129" i="16"/>
  <c r="I128" i="16"/>
  <c r="H128" i="16"/>
  <c r="I127" i="16"/>
  <c r="H127" i="16"/>
  <c r="I126" i="16"/>
  <c r="H126" i="16"/>
  <c r="I125" i="16"/>
  <c r="H125" i="16"/>
  <c r="I124" i="16"/>
  <c r="H124" i="16"/>
  <c r="I123" i="16"/>
  <c r="H123" i="16"/>
  <c r="I122" i="16"/>
  <c r="H122" i="16"/>
  <c r="I121" i="16"/>
  <c r="H121" i="16"/>
  <c r="J121" i="16" s="1"/>
  <c r="L121" i="16" s="1"/>
  <c r="I120" i="16"/>
  <c r="H120" i="16"/>
  <c r="I119" i="16"/>
  <c r="H119" i="16"/>
  <c r="H118" i="16"/>
  <c r="H117" i="16"/>
  <c r="I116" i="16"/>
  <c r="H116" i="16"/>
  <c r="H115" i="16"/>
  <c r="B64" i="16"/>
  <c r="Q2" i="16" s="1"/>
  <c r="L100" i="16"/>
  <c r="L99" i="16"/>
  <c r="K107" i="16"/>
  <c r="K106" i="16"/>
  <c r="K105" i="16"/>
  <c r="K104" i="16"/>
  <c r="K103" i="16"/>
  <c r="K102" i="16"/>
  <c r="K101" i="16"/>
  <c r="K98" i="16"/>
  <c r="K97" i="16"/>
  <c r="K96" i="16"/>
  <c r="K95" i="16"/>
  <c r="J106" i="16"/>
  <c r="L106" i="16" s="1"/>
  <c r="I107" i="16"/>
  <c r="I106" i="16"/>
  <c r="I105" i="16"/>
  <c r="I104" i="16"/>
  <c r="I103" i="16"/>
  <c r="I102" i="16"/>
  <c r="I101" i="16"/>
  <c r="I98" i="16"/>
  <c r="I97" i="16"/>
  <c r="I96" i="16"/>
  <c r="I95" i="16"/>
  <c r="H107" i="16"/>
  <c r="H106" i="16"/>
  <c r="H105" i="16"/>
  <c r="H104" i="16"/>
  <c r="J103" i="16" s="1"/>
  <c r="L103" i="16" s="1"/>
  <c r="H103" i="16"/>
  <c r="J102" i="16" s="1"/>
  <c r="L102" i="16" s="1"/>
  <c r="H102" i="16"/>
  <c r="H101" i="16"/>
  <c r="H100" i="16"/>
  <c r="H99" i="16"/>
  <c r="H98" i="16"/>
  <c r="H97" i="16"/>
  <c r="H96" i="16"/>
  <c r="H95" i="16"/>
  <c r="M99" i="16" s="1"/>
  <c r="H87" i="16"/>
  <c r="H91" i="16" s="1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J74" i="16"/>
  <c r="AK54" i="16"/>
  <c r="AK53" i="16"/>
  <c r="AK52" i="16"/>
  <c r="AK51" i="16"/>
  <c r="AK50" i="16"/>
  <c r="AK49" i="16"/>
  <c r="AK48" i="16"/>
  <c r="AK47" i="16"/>
  <c r="AK46" i="16"/>
  <c r="AK45" i="16"/>
  <c r="AK44" i="16"/>
  <c r="AK43" i="16"/>
  <c r="AK42" i="16"/>
  <c r="AK41" i="16"/>
  <c r="AK40" i="16"/>
  <c r="AK39" i="16"/>
  <c r="AK38" i="16"/>
  <c r="AK37" i="16"/>
  <c r="AK36" i="16"/>
  <c r="AK35" i="16"/>
  <c r="AK34" i="16"/>
  <c r="AK33" i="16"/>
  <c r="AK32" i="16"/>
  <c r="AK31" i="16"/>
  <c r="AK30" i="16"/>
  <c r="AK29" i="16"/>
  <c r="AK28" i="16"/>
  <c r="AK27" i="16"/>
  <c r="AK26" i="16"/>
  <c r="AK25" i="16"/>
  <c r="AK24" i="16"/>
  <c r="AK23" i="16"/>
  <c r="AK21" i="16"/>
  <c r="AK20" i="16"/>
  <c r="AK19" i="16"/>
  <c r="AK18" i="16"/>
  <c r="AK16" i="16"/>
  <c r="AK15" i="16"/>
  <c r="AK14" i="16"/>
  <c r="AK13" i="16"/>
  <c r="AK12" i="16"/>
  <c r="M87" i="16"/>
  <c r="M75" i="16"/>
  <c r="J86" i="16"/>
  <c r="J84" i="16"/>
  <c r="L84" i="16" s="1"/>
  <c r="J82" i="16"/>
  <c r="J80" i="16"/>
  <c r="J78" i="16"/>
  <c r="L78" i="16" s="1"/>
  <c r="J76" i="16"/>
  <c r="J73" i="16"/>
  <c r="L73" i="16" s="1"/>
  <c r="J72" i="16"/>
  <c r="J70" i="16"/>
  <c r="L70" i="16" s="1"/>
  <c r="L86" i="16"/>
  <c r="L75" i="16"/>
  <c r="J69" i="16"/>
  <c r="K87" i="16"/>
  <c r="L87" i="16" s="1"/>
  <c r="K86" i="16"/>
  <c r="K85" i="16"/>
  <c r="L85" i="16" s="1"/>
  <c r="K84" i="16"/>
  <c r="K83" i="16"/>
  <c r="L83" i="16" s="1"/>
  <c r="K82" i="16"/>
  <c r="L82" i="16" s="1"/>
  <c r="K81" i="16"/>
  <c r="L81" i="16" s="1"/>
  <c r="K80" i="16"/>
  <c r="L80" i="16" s="1"/>
  <c r="K79" i="16"/>
  <c r="L79" i="16" s="1"/>
  <c r="K78" i="16"/>
  <c r="K77" i="16"/>
  <c r="L77" i="16" s="1"/>
  <c r="K76" i="16"/>
  <c r="K75" i="16"/>
  <c r="K74" i="16"/>
  <c r="L74" i="16" s="1"/>
  <c r="K73" i="16"/>
  <c r="K72" i="16"/>
  <c r="L72" i="16" s="1"/>
  <c r="K71" i="16"/>
  <c r="L71" i="16" s="1"/>
  <c r="K70" i="16"/>
  <c r="K69" i="16"/>
  <c r="L69" i="16" s="1"/>
  <c r="I86" i="16"/>
  <c r="I85" i="16"/>
  <c r="I84" i="16"/>
  <c r="I82" i="16"/>
  <c r="I81" i="16"/>
  <c r="I80" i="16"/>
  <c r="I78" i="16"/>
  <c r="I77" i="16"/>
  <c r="I76" i="16"/>
  <c r="I74" i="16"/>
  <c r="I72" i="16"/>
  <c r="I70" i="16"/>
  <c r="I69" i="16"/>
  <c r="E92" i="16" l="1"/>
  <c r="J96" i="16"/>
  <c r="L96" i="16" s="1"/>
  <c r="J104" i="16"/>
  <c r="L104" i="16" s="1"/>
  <c r="J116" i="16"/>
  <c r="L116" i="16" s="1"/>
  <c r="B142" i="16" s="1"/>
  <c r="J126" i="16"/>
  <c r="L126" i="16" s="1"/>
  <c r="J130" i="16"/>
  <c r="L130" i="16" s="1"/>
  <c r="J134" i="16"/>
  <c r="L134" i="16" s="1"/>
  <c r="J153" i="16"/>
  <c r="L153" i="16" s="1"/>
  <c r="J158" i="16"/>
  <c r="L158" i="16" s="1"/>
  <c r="J164" i="16"/>
  <c r="B89" i="16"/>
  <c r="B91" i="16" s="1"/>
  <c r="J98" i="16"/>
  <c r="L98" i="16" s="1"/>
  <c r="L76" i="16"/>
  <c r="B90" i="16" s="1"/>
  <c r="B92" i="16" s="1"/>
  <c r="J119" i="16"/>
  <c r="L119" i="16" s="1"/>
  <c r="J151" i="16"/>
  <c r="L151" i="16" s="1"/>
  <c r="J155" i="16"/>
  <c r="L155" i="16" s="1"/>
  <c r="J160" i="16"/>
  <c r="L160" i="16" s="1"/>
  <c r="J105" i="16"/>
  <c r="L105" i="16" s="1"/>
  <c r="J101" i="16"/>
  <c r="L101" i="16" s="1"/>
  <c r="J124" i="16"/>
  <c r="L124" i="16" s="1"/>
  <c r="J128" i="16"/>
  <c r="L128" i="16" s="1"/>
  <c r="J132" i="16"/>
  <c r="L132" i="16" s="1"/>
  <c r="J136" i="16"/>
  <c r="L136" i="16" s="1"/>
  <c r="J97" i="16"/>
  <c r="L97" i="16" s="1"/>
  <c r="J150" i="16"/>
  <c r="L150" i="16" s="1"/>
  <c r="H111" i="16"/>
  <c r="M137" i="16"/>
  <c r="H143" i="16"/>
  <c r="J147" i="16"/>
  <c r="J162" i="16"/>
  <c r="L162" i="16" s="1"/>
  <c r="M116" i="16"/>
  <c r="M122" i="16"/>
  <c r="M153" i="16"/>
  <c r="H169" i="16"/>
  <c r="M165" i="16"/>
  <c r="J148" i="16"/>
  <c r="L148" i="16" s="1"/>
  <c r="J157" i="16"/>
  <c r="L157" i="16" s="1"/>
  <c r="J95" i="16"/>
  <c r="L95" i="16" s="1"/>
  <c r="L164" i="16"/>
  <c r="J107" i="16"/>
  <c r="L107" i="16" s="1"/>
  <c r="M107" i="16"/>
  <c r="E112" i="16" s="1"/>
  <c r="D187" i="17"/>
  <c r="F186" i="17"/>
  <c r="D173" i="17"/>
  <c r="B145" i="17"/>
  <c r="B125" i="17"/>
  <c r="B146" i="17"/>
  <c r="B148" i="17" s="1"/>
  <c r="B124" i="17"/>
  <c r="L85" i="17"/>
  <c r="B98" i="17" s="1"/>
  <c r="B100" i="17" s="1"/>
  <c r="B97" i="17"/>
  <c r="B78" i="17"/>
  <c r="L62" i="17"/>
  <c r="B79" i="17" s="1"/>
  <c r="B81" i="17" s="1"/>
  <c r="L147" i="16"/>
  <c r="B62" i="16"/>
  <c r="B141" i="16" l="1"/>
  <c r="B110" i="16"/>
  <c r="B168" i="16"/>
  <c r="B109" i="16"/>
  <c r="B111" i="16" s="1"/>
  <c r="M147" i="16"/>
  <c r="E170" i="16" s="1"/>
  <c r="E144" i="16"/>
  <c r="B143" i="16" s="1"/>
  <c r="B167" i="16"/>
  <c r="B170" i="16" s="1"/>
  <c r="B144" i="16"/>
  <c r="D174" i="17"/>
  <c r="F169" i="17"/>
  <c r="F168" i="17"/>
  <c r="F170" i="17"/>
  <c r="F171" i="17"/>
  <c r="F172" i="17"/>
  <c r="F187" i="17"/>
  <c r="D188" i="17"/>
  <c r="B127" i="17"/>
  <c r="B112" i="16" l="1"/>
  <c r="B169" i="16"/>
  <c r="F188" i="17"/>
  <c r="D189" i="17"/>
  <c r="D175" i="17"/>
  <c r="C15" i="28"/>
  <c r="T7" i="15"/>
  <c r="D204" i="16"/>
  <c r="D205" i="16" s="1"/>
  <c r="F205" i="16" s="1"/>
  <c r="D191" i="16"/>
  <c r="D190" i="16"/>
  <c r="F188" i="16"/>
  <c r="F187" i="16"/>
  <c r="F186" i="16"/>
  <c r="F185" i="16"/>
  <c r="F183" i="16"/>
  <c r="F182" i="16"/>
  <c r="F181" i="16"/>
  <c r="F179" i="16"/>
  <c r="F178" i="16"/>
  <c r="F176" i="16"/>
  <c r="Q59" i="16"/>
  <c r="AJ59" i="16" s="1"/>
  <c r="Q57" i="16"/>
  <c r="AJ57" i="16" s="1"/>
  <c r="Q25" i="16"/>
  <c r="AJ25" i="16" s="1"/>
  <c r="Q22" i="16"/>
  <c r="AJ22" i="16" s="1"/>
  <c r="Q11" i="16"/>
  <c r="Q8" i="16"/>
  <c r="Q7" i="16"/>
  <c r="AJ7" i="16" s="1"/>
  <c r="AJ2" i="16"/>
  <c r="Q53" i="16"/>
  <c r="AJ53" i="16" s="1"/>
  <c r="O60" i="16"/>
  <c r="D60" i="16"/>
  <c r="P60" i="16" s="1"/>
  <c r="AI60" i="16" s="1"/>
  <c r="O59" i="16"/>
  <c r="D59" i="16"/>
  <c r="P59" i="16" s="1"/>
  <c r="AI59" i="16" s="1"/>
  <c r="O58" i="16"/>
  <c r="D58" i="16"/>
  <c r="P58" i="16" s="1"/>
  <c r="AI58" i="16" s="1"/>
  <c r="O57" i="16"/>
  <c r="D57" i="16"/>
  <c r="P57" i="16" s="1"/>
  <c r="AI57" i="16" s="1"/>
  <c r="O56" i="16"/>
  <c r="D56" i="16"/>
  <c r="P56" i="16" s="1"/>
  <c r="AI56" i="16" s="1"/>
  <c r="D55" i="16"/>
  <c r="D54" i="16"/>
  <c r="P54" i="16" s="1"/>
  <c r="AG53" i="16" s="1"/>
  <c r="O53" i="16"/>
  <c r="D53" i="16"/>
  <c r="P53" i="16" s="1"/>
  <c r="O52" i="16"/>
  <c r="D52" i="16"/>
  <c r="P52" i="16" s="1"/>
  <c r="AI52" i="16" s="1"/>
  <c r="D51" i="16"/>
  <c r="P51" i="16" s="1"/>
  <c r="AI51" i="16" s="1"/>
  <c r="D50" i="16"/>
  <c r="P50" i="16" s="1"/>
  <c r="AI50" i="16" s="1"/>
  <c r="D49" i="16"/>
  <c r="P49" i="16" s="1"/>
  <c r="O48" i="16"/>
  <c r="D48" i="16"/>
  <c r="P48" i="16" s="1"/>
  <c r="AI48" i="16" s="1"/>
  <c r="D47" i="16"/>
  <c r="P47" i="16" s="1"/>
  <c r="AI47" i="16" s="1"/>
  <c r="D46" i="16"/>
  <c r="P46" i="16" s="1"/>
  <c r="AI46" i="16" s="1"/>
  <c r="D45" i="16"/>
  <c r="P45" i="16" s="1"/>
  <c r="AI45" i="16" s="1"/>
  <c r="D44" i="16"/>
  <c r="P44" i="16" s="1"/>
  <c r="AI44" i="16" s="1"/>
  <c r="D43" i="16"/>
  <c r="P43" i="16" s="1"/>
  <c r="O42" i="16"/>
  <c r="D42" i="16"/>
  <c r="P42" i="16" s="1"/>
  <c r="AI42" i="16" s="1"/>
  <c r="D41" i="16"/>
  <c r="P41" i="16" s="1"/>
  <c r="AI41" i="16" s="1"/>
  <c r="D40" i="16"/>
  <c r="P40" i="16" s="1"/>
  <c r="AI40" i="16" s="1"/>
  <c r="D39" i="16"/>
  <c r="P39" i="16" s="1"/>
  <c r="AI39" i="16" s="1"/>
  <c r="D38" i="16"/>
  <c r="P38" i="16" s="1"/>
  <c r="AI38" i="16" s="1"/>
  <c r="D37" i="16"/>
  <c r="P37" i="16" s="1"/>
  <c r="AI37" i="16" s="1"/>
  <c r="D36" i="16"/>
  <c r="P36" i="16" s="1"/>
  <c r="O35" i="16"/>
  <c r="D35" i="16"/>
  <c r="P35" i="16" s="1"/>
  <c r="AI35" i="16" s="1"/>
  <c r="D34" i="16"/>
  <c r="P34" i="16" s="1"/>
  <c r="AI34" i="16" s="1"/>
  <c r="D33" i="16"/>
  <c r="P33" i="16" s="1"/>
  <c r="AI33" i="16" s="1"/>
  <c r="D32" i="16"/>
  <c r="P32" i="16" s="1"/>
  <c r="O31" i="16"/>
  <c r="D31" i="16"/>
  <c r="P31" i="16" s="1"/>
  <c r="AI31" i="16" s="1"/>
  <c r="D30" i="16"/>
  <c r="P30" i="16" s="1"/>
  <c r="AI30" i="16" s="1"/>
  <c r="D29" i="16"/>
  <c r="P29" i="16" s="1"/>
  <c r="AI29" i="16" s="1"/>
  <c r="D28" i="16"/>
  <c r="P28" i="16" s="1"/>
  <c r="AI28" i="16" s="1"/>
  <c r="D27" i="16"/>
  <c r="P27" i="16" s="1"/>
  <c r="AI27" i="16" s="1"/>
  <c r="D26" i="16"/>
  <c r="P26" i="16" s="1"/>
  <c r="O25" i="16"/>
  <c r="D25" i="16"/>
  <c r="P25" i="16" s="1"/>
  <c r="AI25" i="16" s="1"/>
  <c r="D24" i="16"/>
  <c r="P24" i="16" s="1"/>
  <c r="AI24" i="16" s="1"/>
  <c r="D23" i="16"/>
  <c r="P23" i="16" s="1"/>
  <c r="AI23" i="16" s="1"/>
  <c r="O22" i="16"/>
  <c r="D22" i="16"/>
  <c r="P22" i="16" s="1"/>
  <c r="AI22" i="16" s="1"/>
  <c r="D21" i="16"/>
  <c r="P21" i="16" s="1"/>
  <c r="AI21" i="16" s="1"/>
  <c r="D20" i="16"/>
  <c r="P20" i="16" s="1"/>
  <c r="O19" i="16"/>
  <c r="D19" i="16"/>
  <c r="P19" i="16" s="1"/>
  <c r="AI19" i="16" s="1"/>
  <c r="D18" i="16"/>
  <c r="P18" i="16" s="1"/>
  <c r="O17" i="16"/>
  <c r="D17" i="16"/>
  <c r="P17" i="16" s="1"/>
  <c r="O16" i="16"/>
  <c r="D16" i="16"/>
  <c r="P16" i="16" s="1"/>
  <c r="AI16" i="16" s="1"/>
  <c r="D15" i="16"/>
  <c r="P15" i="16" s="1"/>
  <c r="AI15" i="16" s="1"/>
  <c r="D14" i="16"/>
  <c r="P14" i="16" s="1"/>
  <c r="O13" i="16"/>
  <c r="D13" i="16"/>
  <c r="P13" i="16" s="1"/>
  <c r="AI13" i="16" s="1"/>
  <c r="D12" i="16"/>
  <c r="P12" i="16" s="1"/>
  <c r="AI12" i="16" s="1"/>
  <c r="O11" i="16"/>
  <c r="D11" i="16"/>
  <c r="P11" i="16" s="1"/>
  <c r="AI11" i="16" s="1"/>
  <c r="O10" i="16"/>
  <c r="D10" i="16"/>
  <c r="P10" i="16" s="1"/>
  <c r="AI10" i="16" s="1"/>
  <c r="D9" i="16"/>
  <c r="P9" i="16" s="1"/>
  <c r="AI9" i="16" s="1"/>
  <c r="O8" i="16"/>
  <c r="D8" i="16"/>
  <c r="P8" i="16" s="1"/>
  <c r="AI8" i="16" s="1"/>
  <c r="O7" i="16"/>
  <c r="D7" i="16"/>
  <c r="P7" i="16" s="1"/>
  <c r="AI7" i="16" s="1"/>
  <c r="O6" i="16"/>
  <c r="D6" i="16"/>
  <c r="P6" i="16" s="1"/>
  <c r="AI6" i="16" s="1"/>
  <c r="O5" i="16"/>
  <c r="D5" i="16"/>
  <c r="P5" i="16" s="1"/>
  <c r="AI5" i="16" s="1"/>
  <c r="O4" i="16"/>
  <c r="D4" i="16"/>
  <c r="P4" i="16" s="1"/>
  <c r="AI4" i="16" s="1"/>
  <c r="O3" i="16"/>
  <c r="D3" i="16"/>
  <c r="P3" i="16" s="1"/>
  <c r="AI3" i="16" s="1"/>
  <c r="O2" i="16"/>
  <c r="D2" i="16"/>
  <c r="P2" i="16" s="1"/>
  <c r="AI2" i="16" s="1"/>
  <c r="AJ8" i="16" l="1"/>
  <c r="AG8" i="16"/>
  <c r="P55" i="16"/>
  <c r="AI55" i="16" s="1"/>
  <c r="E62" i="16"/>
  <c r="AG13" i="16"/>
  <c r="AJ11" i="16"/>
  <c r="AG11" i="16"/>
  <c r="AG25" i="16"/>
  <c r="D176" i="17"/>
  <c r="D190" i="17"/>
  <c r="F189" i="17"/>
  <c r="AC25" i="16"/>
  <c r="Y25" i="16"/>
  <c r="Y53" i="16"/>
  <c r="AC53" i="16"/>
  <c r="AI18" i="16"/>
  <c r="AI53" i="16"/>
  <c r="AI36" i="16"/>
  <c r="AI14" i="16"/>
  <c r="AI32" i="16"/>
  <c r="AI20" i="16"/>
  <c r="U25" i="16"/>
  <c r="AI26" i="16"/>
  <c r="U53" i="16"/>
  <c r="AI54" i="16"/>
  <c r="AI17" i="16"/>
  <c r="AI49" i="16"/>
  <c r="Q24" i="16"/>
  <c r="AG24" i="16" s="1"/>
  <c r="AI43" i="16"/>
  <c r="Q35" i="16"/>
  <c r="AJ35" i="16" s="1"/>
  <c r="Q56" i="16"/>
  <c r="AJ56" i="16" s="1"/>
  <c r="Q10" i="16"/>
  <c r="Q31" i="16"/>
  <c r="U31" i="16" s="1"/>
  <c r="Q58" i="16"/>
  <c r="AJ58" i="16" s="1"/>
  <c r="F204" i="16"/>
  <c r="Q3" i="16"/>
  <c r="AJ3" i="16" s="1"/>
  <c r="Q13" i="16"/>
  <c r="AJ13" i="16" s="1"/>
  <c r="Q42" i="16"/>
  <c r="AG42" i="16" s="1"/>
  <c r="Q60" i="16"/>
  <c r="AJ60" i="16" s="1"/>
  <c r="Q4" i="16"/>
  <c r="AJ4" i="16" s="1"/>
  <c r="Q16" i="16"/>
  <c r="AJ16" i="16" s="1"/>
  <c r="Q48" i="16"/>
  <c r="AJ48" i="16" s="1"/>
  <c r="Q23" i="16"/>
  <c r="AG23" i="16" s="1"/>
  <c r="Q5" i="16"/>
  <c r="AJ5" i="16" s="1"/>
  <c r="Q17" i="16"/>
  <c r="AJ17" i="16" s="1"/>
  <c r="Q52" i="16"/>
  <c r="AJ52" i="16" s="1"/>
  <c r="Q6" i="16"/>
  <c r="AJ6" i="16" s="1"/>
  <c r="Q19" i="16"/>
  <c r="AJ19" i="16" s="1"/>
  <c r="D192" i="16"/>
  <c r="D206" i="16"/>
  <c r="AC19" i="16" l="1"/>
  <c r="Y16" i="16"/>
  <c r="Y31" i="16"/>
  <c r="AC48" i="16"/>
  <c r="AC16" i="16"/>
  <c r="Y48" i="16"/>
  <c r="Y19" i="16"/>
  <c r="AG19" i="16"/>
  <c r="Y42" i="16"/>
  <c r="AC13" i="16"/>
  <c r="AG35" i="16"/>
  <c r="AG52" i="16"/>
  <c r="AC42" i="16"/>
  <c r="Y13" i="16"/>
  <c r="AC35" i="16"/>
  <c r="AC52" i="16"/>
  <c r="AG31" i="16"/>
  <c r="AG48" i="16"/>
  <c r="Y17" i="16"/>
  <c r="Y35" i="16"/>
  <c r="Y52" i="16"/>
  <c r="AC17" i="16"/>
  <c r="AC31" i="16"/>
  <c r="AG17" i="16"/>
  <c r="AG16" i="16"/>
  <c r="D191" i="17"/>
  <c r="F191" i="17" s="1"/>
  <c r="F190" i="17"/>
  <c r="D177" i="17"/>
  <c r="Y23" i="16"/>
  <c r="AC23" i="16"/>
  <c r="T24" i="16"/>
  <c r="Y24" i="16"/>
  <c r="AC24" i="16"/>
  <c r="Q54" i="16"/>
  <c r="AG54" i="16" s="1"/>
  <c r="Q39" i="16"/>
  <c r="AG39" i="16" s="1"/>
  <c r="Q55" i="16"/>
  <c r="AG55" i="16" s="1"/>
  <c r="U19" i="16"/>
  <c r="AF24" i="16"/>
  <c r="U16" i="16"/>
  <c r="U35" i="16"/>
  <c r="U13" i="16"/>
  <c r="Q28" i="16"/>
  <c r="AG28" i="16" s="1"/>
  <c r="AJ31" i="16"/>
  <c r="Q40" i="16"/>
  <c r="AG40" i="16" s="1"/>
  <c r="AJ42" i="16"/>
  <c r="Q12" i="16"/>
  <c r="AG12" i="16" s="1"/>
  <c r="U42" i="16"/>
  <c r="U48" i="16"/>
  <c r="U52" i="16"/>
  <c r="Q9" i="16"/>
  <c r="AG9" i="16" s="1"/>
  <c r="AJ10" i="16"/>
  <c r="AJ24" i="16"/>
  <c r="U24" i="16"/>
  <c r="AB23" i="16"/>
  <c r="U23" i="16"/>
  <c r="AJ23" i="16"/>
  <c r="AJ54" i="16"/>
  <c r="Q27" i="16"/>
  <c r="AG27" i="16" s="1"/>
  <c r="Q41" i="16"/>
  <c r="AG41" i="16" s="1"/>
  <c r="Q29" i="16"/>
  <c r="AG29" i="16" s="1"/>
  <c r="Q36" i="16"/>
  <c r="AG36" i="16" s="1"/>
  <c r="X52" i="16"/>
  <c r="AF52" i="16"/>
  <c r="Q49" i="16"/>
  <c r="AG49" i="16" s="1"/>
  <c r="Q51" i="16"/>
  <c r="AG51" i="16" s="1"/>
  <c r="Q50" i="16"/>
  <c r="AG50" i="16" s="1"/>
  <c r="Q18" i="16"/>
  <c r="AG18" i="16" s="1"/>
  <c r="AB17" i="16"/>
  <c r="Q34" i="16"/>
  <c r="AG34" i="16" s="1"/>
  <c r="Q33" i="16"/>
  <c r="AG33" i="16" s="1"/>
  <c r="Q32" i="16"/>
  <c r="AG32" i="16" s="1"/>
  <c r="Q21" i="16"/>
  <c r="AG21" i="16" s="1"/>
  <c r="Q20" i="16"/>
  <c r="AG20" i="16" s="1"/>
  <c r="Q47" i="16"/>
  <c r="AG47" i="16" s="1"/>
  <c r="Q46" i="16"/>
  <c r="AG46" i="16" s="1"/>
  <c r="Q45" i="16"/>
  <c r="AG45" i="16" s="1"/>
  <c r="Q44" i="16"/>
  <c r="AG44" i="16" s="1"/>
  <c r="Q38" i="16"/>
  <c r="AG38" i="16" s="1"/>
  <c r="Q43" i="16"/>
  <c r="AG43" i="16" s="1"/>
  <c r="Q37" i="16"/>
  <c r="AG37" i="16" s="1"/>
  <c r="Q26" i="16"/>
  <c r="AG26" i="16" s="1"/>
  <c r="X13" i="16"/>
  <c r="T13" i="16"/>
  <c r="Q14" i="16"/>
  <c r="AG14" i="16" s="1"/>
  <c r="AF13" i="16"/>
  <c r="Q15" i="16"/>
  <c r="AG15" i="16" s="1"/>
  <c r="Q30" i="16"/>
  <c r="AG30" i="16" s="1"/>
  <c r="D207" i="16"/>
  <c r="F206" i="16"/>
  <c r="D193" i="16"/>
  <c r="E168" i="16" l="1"/>
  <c r="U54" i="16"/>
  <c r="AB54" i="16"/>
  <c r="D178" i="17"/>
  <c r="AC27" i="16"/>
  <c r="Y27" i="16"/>
  <c r="Y20" i="16"/>
  <c r="AC20" i="16"/>
  <c r="AC49" i="16"/>
  <c r="Y49" i="16"/>
  <c r="AJ28" i="16"/>
  <c r="Y28" i="16"/>
  <c r="AC28" i="16"/>
  <c r="Y54" i="16"/>
  <c r="AC54" i="16"/>
  <c r="Y47" i="16"/>
  <c r="AC47" i="16"/>
  <c r="AJ55" i="16"/>
  <c r="Y55" i="16"/>
  <c r="AC55" i="16"/>
  <c r="AC50" i="16"/>
  <c r="Y50" i="16"/>
  <c r="AC51" i="16"/>
  <c r="Y51" i="16"/>
  <c r="Y37" i="16"/>
  <c r="AC37" i="16"/>
  <c r="AC32" i="16"/>
  <c r="Y32" i="16"/>
  <c r="AC15" i="16"/>
  <c r="Y15" i="16"/>
  <c r="AC33" i="16"/>
  <c r="Y33" i="16"/>
  <c r="AC34" i="16"/>
  <c r="Y34" i="16"/>
  <c r="AC26" i="16"/>
  <c r="Y26" i="16"/>
  <c r="Y21" i="16"/>
  <c r="AC21" i="16"/>
  <c r="Y43" i="16"/>
  <c r="AC43" i="16"/>
  <c r="Y38" i="16"/>
  <c r="AC38" i="16"/>
  <c r="Y44" i="16"/>
  <c r="AC44" i="16"/>
  <c r="Y36" i="16"/>
  <c r="AC36" i="16"/>
  <c r="Y14" i="16"/>
  <c r="AC14" i="16"/>
  <c r="Y45" i="16"/>
  <c r="AC45" i="16"/>
  <c r="Y29" i="16"/>
  <c r="AC29" i="16"/>
  <c r="Y12" i="16"/>
  <c r="AC12" i="16"/>
  <c r="U40" i="16"/>
  <c r="AC40" i="16"/>
  <c r="Y40" i="16"/>
  <c r="AJ39" i="16"/>
  <c r="Y39" i="16"/>
  <c r="AC39" i="16"/>
  <c r="Y30" i="16"/>
  <c r="AC30" i="16"/>
  <c r="Y46" i="16"/>
  <c r="AC46" i="16"/>
  <c r="Y18" i="16"/>
  <c r="AC18" i="16"/>
  <c r="AC41" i="16"/>
  <c r="Y41" i="16"/>
  <c r="X55" i="16"/>
  <c r="X54" i="16" s="1"/>
  <c r="AB39" i="16"/>
  <c r="U39" i="16"/>
  <c r="AB28" i="16"/>
  <c r="AJ40" i="16"/>
  <c r="U28" i="16"/>
  <c r="AJ12" i="16"/>
  <c r="T12" i="16"/>
  <c r="X40" i="16"/>
  <c r="AF40" i="16"/>
  <c r="AF12" i="16"/>
  <c r="U12" i="16"/>
  <c r="X12" i="16"/>
  <c r="AJ26" i="16"/>
  <c r="U26" i="16"/>
  <c r="AJ47" i="16"/>
  <c r="U47" i="16"/>
  <c r="AB21" i="16"/>
  <c r="AJ21" i="16"/>
  <c r="U21" i="16"/>
  <c r="AB41" i="16"/>
  <c r="U41" i="16"/>
  <c r="AJ41" i="16"/>
  <c r="U37" i="16"/>
  <c r="AJ37" i="16"/>
  <c r="AJ30" i="16"/>
  <c r="U30" i="16"/>
  <c r="AB33" i="16"/>
  <c r="AJ33" i="16"/>
  <c r="U33" i="16"/>
  <c r="AB51" i="16"/>
  <c r="AB53" i="16" s="1"/>
  <c r="U51" i="16"/>
  <c r="AJ51" i="16"/>
  <c r="AB27" i="16"/>
  <c r="U27" i="16"/>
  <c r="AJ27" i="16"/>
  <c r="AB43" i="16"/>
  <c r="AB42" i="16" s="1"/>
  <c r="U43" i="16"/>
  <c r="AJ43" i="16"/>
  <c r="T34" i="16"/>
  <c r="U34" i="16"/>
  <c r="AJ34" i="16"/>
  <c r="AB32" i="16"/>
  <c r="AJ32" i="16"/>
  <c r="U32" i="16"/>
  <c r="AJ15" i="16"/>
  <c r="U15" i="16"/>
  <c r="AB44" i="16"/>
  <c r="AJ44" i="16"/>
  <c r="U44" i="16"/>
  <c r="AB18" i="16"/>
  <c r="U18" i="16"/>
  <c r="AJ18" i="16"/>
  <c r="AB36" i="16"/>
  <c r="AJ36" i="16"/>
  <c r="U36" i="16"/>
  <c r="T50" i="16"/>
  <c r="AJ50" i="16"/>
  <c r="U50" i="16"/>
  <c r="T38" i="16"/>
  <c r="AJ38" i="16"/>
  <c r="U38" i="16"/>
  <c r="AB49" i="16"/>
  <c r="AJ49" i="16"/>
  <c r="U49" i="16"/>
  <c r="AB14" i="16"/>
  <c r="AJ14" i="16"/>
  <c r="U14" i="16"/>
  <c r="AB45" i="16"/>
  <c r="U45" i="16"/>
  <c r="AJ45" i="16"/>
  <c r="AB46" i="16"/>
  <c r="AJ46" i="16"/>
  <c r="U46" i="16"/>
  <c r="U20" i="16"/>
  <c r="AJ20" i="16"/>
  <c r="T29" i="16"/>
  <c r="U29" i="16"/>
  <c r="AJ29" i="16"/>
  <c r="AB9" i="16"/>
  <c r="AJ9" i="16"/>
  <c r="AF47" i="16"/>
  <c r="AF46" i="16" s="1"/>
  <c r="X47" i="16"/>
  <c r="T47" i="16"/>
  <c r="AF20" i="16"/>
  <c r="T20" i="16"/>
  <c r="X20" i="16"/>
  <c r="AF26" i="16"/>
  <c r="X26" i="16"/>
  <c r="AF15" i="16"/>
  <c r="AF14" i="16" s="1"/>
  <c r="X15" i="16"/>
  <c r="X14" i="16" s="1"/>
  <c r="T15" i="16"/>
  <c r="T14" i="16" s="1"/>
  <c r="AF37" i="16"/>
  <c r="X37" i="16"/>
  <c r="AF30" i="16"/>
  <c r="X30" i="16"/>
  <c r="D194" i="16"/>
  <c r="D208" i="16"/>
  <c r="F207" i="16"/>
  <c r="D179" i="17" l="1"/>
  <c r="E169" i="16"/>
  <c r="E142" i="16"/>
  <c r="E143" i="16" s="1"/>
  <c r="E110" i="16"/>
  <c r="E111" i="16" s="1"/>
  <c r="X53" i="16"/>
  <c r="AF44" i="16"/>
  <c r="AB40" i="16"/>
  <c r="X42" i="16"/>
  <c r="AB11" i="16"/>
  <c r="AB13" i="16"/>
  <c r="T32" i="16"/>
  <c r="AB50" i="16"/>
  <c r="AB52" i="16"/>
  <c r="AB47" i="16"/>
  <c r="AB48" i="16"/>
  <c r="T37" i="16"/>
  <c r="AB34" i="16"/>
  <c r="X43" i="16"/>
  <c r="AB19" i="16"/>
  <c r="T45" i="16"/>
  <c r="E90" i="16"/>
  <c r="E91" i="16" s="1"/>
  <c r="T31" i="16"/>
  <c r="AF41" i="16"/>
  <c r="AF42" i="16"/>
  <c r="AF43" i="16"/>
  <c r="AB20" i="16"/>
  <c r="AB29" i="16"/>
  <c r="AB31" i="16"/>
  <c r="AB30" i="16"/>
  <c r="AB26" i="16"/>
  <c r="AB25" i="16"/>
  <c r="AB24" i="16"/>
  <c r="T35" i="16"/>
  <c r="T46" i="16"/>
  <c r="AB35" i="16"/>
  <c r="X44" i="16"/>
  <c r="AB37" i="16"/>
  <c r="AB38" i="16"/>
  <c r="AB15" i="16"/>
  <c r="T36" i="16"/>
  <c r="AB16" i="16"/>
  <c r="AB12" i="16"/>
  <c r="T30" i="16"/>
  <c r="T28" i="16"/>
  <c r="T26" i="16"/>
  <c r="T25" i="16"/>
  <c r="T27" i="16"/>
  <c r="T33" i="16"/>
  <c r="AF45" i="16"/>
  <c r="T41" i="16"/>
  <c r="T39" i="16"/>
  <c r="T42" i="16"/>
  <c r="T43" i="16"/>
  <c r="X46" i="16"/>
  <c r="T44" i="16"/>
  <c r="X41" i="16"/>
  <c r="X27" i="16"/>
  <c r="X29" i="16"/>
  <c r="X28" i="16"/>
  <c r="X36" i="16"/>
  <c r="X35" i="16"/>
  <c r="X34" i="16"/>
  <c r="X33" i="16"/>
  <c r="X32" i="16"/>
  <c r="X31" i="16"/>
  <c r="T49" i="16"/>
  <c r="T48" i="16"/>
  <c r="X51" i="16"/>
  <c r="X50" i="16"/>
  <c r="X49" i="16"/>
  <c r="X48" i="16"/>
  <c r="X39" i="16"/>
  <c r="X38" i="16"/>
  <c r="X25" i="16"/>
  <c r="X24" i="16"/>
  <c r="X23" i="16"/>
  <c r="X21" i="16"/>
  <c r="AF48" i="16"/>
  <c r="AF50" i="16"/>
  <c r="AF51" i="16"/>
  <c r="AF49" i="16"/>
  <c r="AF19" i="16"/>
  <c r="AF18" i="16"/>
  <c r="AF17" i="16"/>
  <c r="AF16" i="16"/>
  <c r="AF29" i="16"/>
  <c r="AF28" i="16"/>
  <c r="AF27" i="16"/>
  <c r="AF25" i="16"/>
  <c r="AF32" i="16"/>
  <c r="AF31" i="16"/>
  <c r="AF34" i="16"/>
  <c r="AF36" i="16"/>
  <c r="AF35" i="16"/>
  <c r="AF33" i="16"/>
  <c r="AF39" i="16"/>
  <c r="AF38" i="16"/>
  <c r="T19" i="16"/>
  <c r="T18" i="16"/>
  <c r="T16" i="16"/>
  <c r="T23" i="16"/>
  <c r="T21" i="16"/>
  <c r="T40" i="16"/>
  <c r="X45" i="16"/>
  <c r="X16" i="16"/>
  <c r="X18" i="16"/>
  <c r="X19" i="16"/>
  <c r="X17" i="16"/>
  <c r="AF23" i="16"/>
  <c r="AF21" i="16"/>
  <c r="F208" i="16"/>
  <c r="D209" i="16"/>
  <c r="D195" i="16"/>
  <c r="F194" i="16"/>
  <c r="D180" i="17" l="1"/>
  <c r="F179" i="17" s="1"/>
  <c r="F209" i="16"/>
  <c r="D210" i="16"/>
  <c r="D196" i="16"/>
  <c r="F190" i="16"/>
  <c r="F191" i="16"/>
  <c r="F192" i="16"/>
  <c r="F193" i="16"/>
  <c r="F174" i="17" l="1"/>
  <c r="F175" i="17"/>
  <c r="F176" i="17"/>
  <c r="F177" i="17"/>
  <c r="F178" i="17"/>
  <c r="D211" i="16"/>
  <c r="F210" i="16"/>
  <c r="D197" i="16"/>
  <c r="D198" i="16" l="1"/>
  <c r="D212" i="16"/>
  <c r="F211" i="16"/>
  <c r="AK36" i="15"/>
  <c r="AM26" i="15"/>
  <c r="J144" i="15"/>
  <c r="M132" i="15"/>
  <c r="M128" i="15"/>
  <c r="J127" i="15"/>
  <c r="M123" i="15"/>
  <c r="M120" i="15"/>
  <c r="M118" i="15"/>
  <c r="M116" i="15"/>
  <c r="J131" i="15"/>
  <c r="I131" i="15"/>
  <c r="I132" i="15"/>
  <c r="Y107" i="35"/>
  <c r="Y92" i="35"/>
  <c r="Y84" i="35"/>
  <c r="Y78" i="35"/>
  <c r="Y75" i="35"/>
  <c r="Y72" i="35"/>
  <c r="Y69" i="35"/>
  <c r="Y67" i="35"/>
  <c r="X68" i="35"/>
  <c r="X108" i="35"/>
  <c r="X94" i="35"/>
  <c r="X91" i="35"/>
  <c r="X90" i="35"/>
  <c r="X89" i="35"/>
  <c r="X86" i="35"/>
  <c r="X83" i="35"/>
  <c r="X82" i="35"/>
  <c r="X81" i="35"/>
  <c r="X79" i="35"/>
  <c r="X76" i="35"/>
  <c r="X74" i="35"/>
  <c r="X73" i="35"/>
  <c r="X71" i="35"/>
  <c r="X70" i="35"/>
  <c r="AB67" i="35"/>
  <c r="AB68" i="35" s="1"/>
  <c r="AB69" i="35" s="1"/>
  <c r="AB70" i="35" s="1"/>
  <c r="AB71" i="35" s="1"/>
  <c r="AB72" i="35" s="1"/>
  <c r="AB73" i="35" s="1"/>
  <c r="AB74" i="35" s="1"/>
  <c r="AB75" i="35" s="1"/>
  <c r="AB76" i="35" s="1"/>
  <c r="AB77" i="35" s="1"/>
  <c r="AB78" i="35" s="1"/>
  <c r="AB79" i="35" s="1"/>
  <c r="AB80" i="35" s="1"/>
  <c r="AB81" i="35" s="1"/>
  <c r="AB82" i="35" s="1"/>
  <c r="AB83" i="35" s="1"/>
  <c r="AB84" i="35" s="1"/>
  <c r="AB85" i="35" s="1"/>
  <c r="AB86" i="35" s="1"/>
  <c r="AB87" i="35" s="1"/>
  <c r="AB88" i="35" s="1"/>
  <c r="AB89" i="35" s="1"/>
  <c r="AB90" i="35" s="1"/>
  <c r="AB91" i="35" s="1"/>
  <c r="AB92" i="35" s="1"/>
  <c r="AB93" i="35" s="1"/>
  <c r="AB94" i="35" s="1"/>
  <c r="AB95" i="35" s="1"/>
  <c r="AB96" i="35" s="1"/>
  <c r="AB97" i="35" s="1"/>
  <c r="AB98" i="35" s="1"/>
  <c r="AB99" i="35" s="1"/>
  <c r="AB100" i="35" s="1"/>
  <c r="AB101" i="35" s="1"/>
  <c r="AB102" i="35" s="1"/>
  <c r="AB103" i="35" s="1"/>
  <c r="AB104" i="35" s="1"/>
  <c r="AB105" i="35" s="1"/>
  <c r="AB106" i="35" s="1"/>
  <c r="AB107" i="35" s="1"/>
  <c r="AB108" i="35" s="1"/>
  <c r="AB109" i="35" s="1"/>
  <c r="AB110" i="35" s="1"/>
  <c r="AB111" i="35" s="1"/>
  <c r="AB66" i="35"/>
  <c r="AA66" i="35"/>
  <c r="AA67" i="35" s="1"/>
  <c r="AA68" i="35" s="1"/>
  <c r="AA69" i="35" s="1"/>
  <c r="AA70" i="35" s="1"/>
  <c r="AA71" i="35" s="1"/>
  <c r="AA72" i="35" s="1"/>
  <c r="AA73" i="35" s="1"/>
  <c r="AA74" i="35" s="1"/>
  <c r="AA75" i="35" s="1"/>
  <c r="AA76" i="35" s="1"/>
  <c r="AA77" i="35" s="1"/>
  <c r="AA78" i="35" s="1"/>
  <c r="AA79" i="35" s="1"/>
  <c r="AA80" i="35" s="1"/>
  <c r="AA81" i="35" s="1"/>
  <c r="AA82" i="35" s="1"/>
  <c r="AA83" i="35" s="1"/>
  <c r="AA84" i="35" s="1"/>
  <c r="AA85" i="35" s="1"/>
  <c r="AA86" i="35" s="1"/>
  <c r="AA87" i="35" s="1"/>
  <c r="AA88" i="35" s="1"/>
  <c r="AA89" i="35" s="1"/>
  <c r="AA90" i="35" s="1"/>
  <c r="AA91" i="35" s="1"/>
  <c r="AA92" i="35" s="1"/>
  <c r="AA93" i="35" s="1"/>
  <c r="AA94" i="35" s="1"/>
  <c r="AA95" i="35" s="1"/>
  <c r="AA96" i="35" s="1"/>
  <c r="AA97" i="35" s="1"/>
  <c r="AA98" i="35" s="1"/>
  <c r="AA99" i="35" s="1"/>
  <c r="AA100" i="35" s="1"/>
  <c r="AA101" i="35" s="1"/>
  <c r="AA102" i="35" s="1"/>
  <c r="AA103" i="35" s="1"/>
  <c r="AA104" i="35" s="1"/>
  <c r="AA105" i="35" s="1"/>
  <c r="AA106" i="35" s="1"/>
  <c r="AA107" i="35" s="1"/>
  <c r="AA108" i="35" s="1"/>
  <c r="AA109" i="35" s="1"/>
  <c r="AA110" i="35" s="1"/>
  <c r="AA111" i="35" s="1"/>
  <c r="K58" i="35"/>
  <c r="N58" i="35"/>
  <c r="U113" i="35"/>
  <c r="N29" i="35"/>
  <c r="K29" i="35"/>
  <c r="M113" i="35"/>
  <c r="T113" i="35"/>
  <c r="R113" i="35"/>
  <c r="P113" i="35"/>
  <c r="O113" i="35"/>
  <c r="AN51" i="15"/>
  <c r="AN50" i="15"/>
  <c r="AN49" i="15"/>
  <c r="AN48" i="15"/>
  <c r="AN47" i="15"/>
  <c r="AN46" i="15"/>
  <c r="AN45" i="15"/>
  <c r="AN44" i="15"/>
  <c r="AN43" i="15"/>
  <c r="AN42" i="15"/>
  <c r="AN41" i="15"/>
  <c r="AN40" i="15"/>
  <c r="AN39" i="15"/>
  <c r="AN38" i="15"/>
  <c r="AN37" i="15"/>
  <c r="AN36" i="15"/>
  <c r="AN35" i="15"/>
  <c r="AN34" i="15"/>
  <c r="AN33" i="15"/>
  <c r="AN32" i="15"/>
  <c r="AN31" i="15"/>
  <c r="AN30" i="15"/>
  <c r="AN29" i="15"/>
  <c r="AN28" i="15"/>
  <c r="AN26" i="15"/>
  <c r="AN25" i="15"/>
  <c r="AN24" i="15"/>
  <c r="AN23" i="15"/>
  <c r="AN22" i="15"/>
  <c r="AN21" i="15"/>
  <c r="AN20" i="15"/>
  <c r="AN19" i="15"/>
  <c r="AN18" i="15"/>
  <c r="AN17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B167" i="15"/>
  <c r="AG52" i="15"/>
  <c r="AG51" i="15"/>
  <c r="AG50" i="15"/>
  <c r="AG49" i="15"/>
  <c r="AG48" i="15"/>
  <c r="AG47" i="15"/>
  <c r="AG46" i="15"/>
  <c r="AG45" i="15"/>
  <c r="AG44" i="15"/>
  <c r="AG43" i="15"/>
  <c r="AG42" i="15"/>
  <c r="AG41" i="15"/>
  <c r="AG40" i="15"/>
  <c r="AG39" i="15"/>
  <c r="AG38" i="15"/>
  <c r="AG37" i="15"/>
  <c r="AG36" i="15"/>
  <c r="AG35" i="15"/>
  <c r="AG34" i="15"/>
  <c r="AG33" i="15"/>
  <c r="AG32" i="15"/>
  <c r="AG31" i="15"/>
  <c r="AG30" i="15"/>
  <c r="AG29" i="15"/>
  <c r="AG28" i="15"/>
  <c r="AG27" i="15"/>
  <c r="AG26" i="15"/>
  <c r="AG25" i="15"/>
  <c r="AG24" i="15"/>
  <c r="AG23" i="15"/>
  <c r="AG22" i="15"/>
  <c r="AG21" i="15"/>
  <c r="AG20" i="15"/>
  <c r="AG19" i="15"/>
  <c r="AG18" i="15"/>
  <c r="AG17" i="15"/>
  <c r="AG16" i="15"/>
  <c r="AG15" i="15"/>
  <c r="AG14" i="15"/>
  <c r="AG13" i="15"/>
  <c r="AG12" i="15"/>
  <c r="AG11" i="15"/>
  <c r="AG10" i="15"/>
  <c r="AG9" i="15"/>
  <c r="AG8" i="15"/>
  <c r="AG7" i="15"/>
  <c r="AG6" i="15"/>
  <c r="AG5" i="15"/>
  <c r="AG4" i="15"/>
  <c r="AG3" i="15"/>
  <c r="AC5" i="15"/>
  <c r="AC4" i="15"/>
  <c r="M165" i="15"/>
  <c r="J163" i="15"/>
  <c r="L163" i="15"/>
  <c r="M161" i="15"/>
  <c r="M158" i="15"/>
  <c r="M155" i="15"/>
  <c r="M152" i="15"/>
  <c r="M150" i="15"/>
  <c r="M148" i="15"/>
  <c r="J147" i="15"/>
  <c r="J146" i="15"/>
  <c r="J145" i="15"/>
  <c r="L145" i="15"/>
  <c r="L144" i="15"/>
  <c r="J160" i="15"/>
  <c r="L160" i="15" s="1"/>
  <c r="J157" i="15"/>
  <c r="J154" i="15"/>
  <c r="L154" i="15"/>
  <c r="J151" i="15"/>
  <c r="J149" i="15"/>
  <c r="L157" i="15"/>
  <c r="L151" i="15"/>
  <c r="L149" i="15"/>
  <c r="L147" i="15"/>
  <c r="L146" i="15"/>
  <c r="L143" i="15"/>
  <c r="K163" i="15"/>
  <c r="K160" i="15"/>
  <c r="K157" i="15"/>
  <c r="K154" i="15"/>
  <c r="K151" i="15"/>
  <c r="K149" i="15"/>
  <c r="K147" i="15"/>
  <c r="K146" i="15"/>
  <c r="K145" i="15"/>
  <c r="K144" i="15"/>
  <c r="K143" i="15"/>
  <c r="H165" i="15"/>
  <c r="H164" i="15"/>
  <c r="I163" i="15"/>
  <c r="H163" i="15"/>
  <c r="H162" i="15"/>
  <c r="H161" i="15"/>
  <c r="I160" i="15"/>
  <c r="H160" i="15"/>
  <c r="H159" i="15"/>
  <c r="H158" i="15"/>
  <c r="I157" i="15"/>
  <c r="H157" i="15"/>
  <c r="H156" i="15"/>
  <c r="H155" i="15"/>
  <c r="I154" i="15"/>
  <c r="H154" i="15"/>
  <c r="H153" i="15"/>
  <c r="H152" i="15"/>
  <c r="I151" i="15"/>
  <c r="H151" i="15"/>
  <c r="H150" i="15"/>
  <c r="I149" i="15"/>
  <c r="H149" i="15"/>
  <c r="H148" i="15"/>
  <c r="I147" i="15"/>
  <c r="H147" i="15"/>
  <c r="I146" i="15"/>
  <c r="H146" i="15"/>
  <c r="I145" i="15"/>
  <c r="H145" i="15"/>
  <c r="I144" i="15"/>
  <c r="H144" i="15"/>
  <c r="H143" i="15"/>
  <c r="H112" i="15"/>
  <c r="J126" i="15"/>
  <c r="J125" i="15"/>
  <c r="J119" i="15"/>
  <c r="J122" i="15"/>
  <c r="J117" i="15"/>
  <c r="J115" i="15"/>
  <c r="J114" i="15"/>
  <c r="J113" i="15"/>
  <c r="AM51" i="15"/>
  <c r="AM50" i="15"/>
  <c r="AM49" i="15"/>
  <c r="AM48" i="15"/>
  <c r="AM46" i="15"/>
  <c r="AM45" i="15"/>
  <c r="AM44" i="15"/>
  <c r="AM43" i="15"/>
  <c r="AM42" i="15"/>
  <c r="AM41" i="15"/>
  <c r="AM40" i="15"/>
  <c r="AM39" i="15"/>
  <c r="AM38" i="15"/>
  <c r="AM37" i="15"/>
  <c r="AM36" i="15"/>
  <c r="AM35" i="15"/>
  <c r="AM34" i="15"/>
  <c r="AM33" i="15"/>
  <c r="AM32" i="15"/>
  <c r="AM31" i="15"/>
  <c r="AM30" i="15"/>
  <c r="AM29" i="15"/>
  <c r="AM28" i="15"/>
  <c r="AM25" i="15"/>
  <c r="AM24" i="15"/>
  <c r="AM23" i="15"/>
  <c r="AM22" i="15"/>
  <c r="AM21" i="15"/>
  <c r="AM20" i="15"/>
  <c r="AM19" i="15"/>
  <c r="AM15" i="15"/>
  <c r="AM14" i="15"/>
  <c r="AM13" i="15"/>
  <c r="AM12" i="15"/>
  <c r="AM11" i="15"/>
  <c r="AM10" i="15"/>
  <c r="AM9" i="15"/>
  <c r="AM8" i="15"/>
  <c r="AM7" i="15"/>
  <c r="AM6" i="15"/>
  <c r="AM5" i="15"/>
  <c r="AM4" i="15"/>
  <c r="AM3" i="15"/>
  <c r="AC51" i="15"/>
  <c r="AC50" i="15"/>
  <c r="AC49" i="15"/>
  <c r="AC48" i="15"/>
  <c r="AC47" i="15"/>
  <c r="AC46" i="15"/>
  <c r="AC45" i="15"/>
  <c r="AC44" i="15"/>
  <c r="AC43" i="15"/>
  <c r="AC42" i="15"/>
  <c r="AC41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3" i="15"/>
  <c r="AC12" i="15"/>
  <c r="AC11" i="15"/>
  <c r="AC10" i="15"/>
  <c r="AC9" i="15"/>
  <c r="AC8" i="15"/>
  <c r="AC7" i="15"/>
  <c r="AC6" i="15"/>
  <c r="J134" i="15"/>
  <c r="L127" i="15"/>
  <c r="L125" i="15"/>
  <c r="L119" i="15"/>
  <c r="L135" i="15"/>
  <c r="L134" i="15"/>
  <c r="L133" i="15"/>
  <c r="L132" i="15"/>
  <c r="L130" i="15"/>
  <c r="L129" i="15"/>
  <c r="L128" i="15"/>
  <c r="L124" i="15"/>
  <c r="L123" i="15"/>
  <c r="L122" i="15"/>
  <c r="L121" i="15"/>
  <c r="L120" i="15"/>
  <c r="L118" i="15"/>
  <c r="L117" i="15"/>
  <c r="L116" i="15"/>
  <c r="L115" i="15"/>
  <c r="L114" i="15"/>
  <c r="L113" i="15"/>
  <c r="L112" i="15"/>
  <c r="K135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I135" i="15"/>
  <c r="I134" i="15"/>
  <c r="I133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AL3" i="15"/>
  <c r="AL4" i="15"/>
  <c r="AL5" i="15"/>
  <c r="AJ54" i="15"/>
  <c r="AI54" i="15"/>
  <c r="AJ53" i="15"/>
  <c r="AI53" i="15"/>
  <c r="AJ52" i="15"/>
  <c r="AI52" i="15"/>
  <c r="AJ51" i="15"/>
  <c r="AI51" i="15"/>
  <c r="AJ50" i="15"/>
  <c r="AI50" i="15"/>
  <c r="AJ49" i="15"/>
  <c r="AI49" i="15"/>
  <c r="AJ48" i="15"/>
  <c r="AI48" i="15"/>
  <c r="AJ47" i="15"/>
  <c r="AI47" i="15"/>
  <c r="AL46" i="15"/>
  <c r="AJ46" i="15"/>
  <c r="AI46" i="15"/>
  <c r="AL45" i="15"/>
  <c r="AK45" i="15"/>
  <c r="AJ45" i="15"/>
  <c r="AI45" i="15"/>
  <c r="AL44" i="15"/>
  <c r="AK44" i="15"/>
  <c r="AJ44" i="15"/>
  <c r="AI44" i="15"/>
  <c r="AL43" i="15"/>
  <c r="AK43" i="15"/>
  <c r="AJ43" i="15"/>
  <c r="AI43" i="15"/>
  <c r="AL42" i="15"/>
  <c r="AK42" i="15"/>
  <c r="AJ42" i="15"/>
  <c r="AI42" i="15"/>
  <c r="AL41" i="15"/>
  <c r="AK41" i="15"/>
  <c r="AJ41" i="15"/>
  <c r="AI41" i="15"/>
  <c r="AL40" i="15"/>
  <c r="AK40" i="15"/>
  <c r="AJ40" i="15"/>
  <c r="AI40" i="15"/>
  <c r="AL39" i="15"/>
  <c r="AK39" i="15"/>
  <c r="AJ39" i="15"/>
  <c r="AI39" i="15"/>
  <c r="AL38" i="15"/>
  <c r="AK38" i="15"/>
  <c r="AJ38" i="15"/>
  <c r="AI38" i="15"/>
  <c r="AL37" i="15"/>
  <c r="AJ37" i="15"/>
  <c r="AI37" i="15"/>
  <c r="AL36" i="15"/>
  <c r="AJ36" i="15"/>
  <c r="AI36" i="15"/>
  <c r="AL35" i="15"/>
  <c r="AK35" i="15"/>
  <c r="AJ35" i="15"/>
  <c r="AI35" i="15"/>
  <c r="AL34" i="15"/>
  <c r="AK34" i="15"/>
  <c r="AJ34" i="15"/>
  <c r="AI34" i="15"/>
  <c r="AL33" i="15"/>
  <c r="AK33" i="15"/>
  <c r="AJ33" i="15"/>
  <c r="AI33" i="15"/>
  <c r="AL32" i="15"/>
  <c r="AK32" i="15"/>
  <c r="AJ32" i="15"/>
  <c r="AI32" i="15"/>
  <c r="AL31" i="15"/>
  <c r="AK31" i="15"/>
  <c r="AJ31" i="15"/>
  <c r="AI31" i="15"/>
  <c r="AL30" i="15"/>
  <c r="AK30" i="15"/>
  <c r="AJ30" i="15"/>
  <c r="AI30" i="15"/>
  <c r="AL29" i="15"/>
  <c r="AK29" i="15"/>
  <c r="AJ29" i="15"/>
  <c r="AI29" i="15"/>
  <c r="AJ28" i="15"/>
  <c r="AI28" i="15"/>
  <c r="AJ27" i="15"/>
  <c r="AI27" i="15"/>
  <c r="AJ26" i="15"/>
  <c r="AI26" i="15"/>
  <c r="AL25" i="15"/>
  <c r="AK25" i="15"/>
  <c r="AJ25" i="15"/>
  <c r="AI25" i="15"/>
  <c r="AL24" i="15"/>
  <c r="AK24" i="15"/>
  <c r="AJ24" i="15"/>
  <c r="AI24" i="15"/>
  <c r="AL23" i="15"/>
  <c r="AK23" i="15"/>
  <c r="AJ23" i="15"/>
  <c r="AI23" i="15"/>
  <c r="AL22" i="15"/>
  <c r="AK22" i="15"/>
  <c r="AJ22" i="15"/>
  <c r="AI22" i="15"/>
  <c r="AL21" i="15"/>
  <c r="AK21" i="15"/>
  <c r="AJ21" i="15"/>
  <c r="AI21" i="15"/>
  <c r="AL20" i="15"/>
  <c r="AK20" i="15"/>
  <c r="AJ20" i="15"/>
  <c r="AI20" i="15"/>
  <c r="AL19" i="15"/>
  <c r="AK19" i="15"/>
  <c r="AJ19" i="15"/>
  <c r="AI19" i="15"/>
  <c r="AJ18" i="15"/>
  <c r="AI18" i="15"/>
  <c r="AJ17" i="15"/>
  <c r="AI17" i="15"/>
  <c r="AJ16" i="15"/>
  <c r="AI16" i="15"/>
  <c r="AL15" i="15"/>
  <c r="AK15" i="15"/>
  <c r="AJ15" i="15"/>
  <c r="AI15" i="15"/>
  <c r="AL14" i="15"/>
  <c r="AK14" i="15"/>
  <c r="AJ14" i="15"/>
  <c r="AI14" i="15"/>
  <c r="AL13" i="15"/>
  <c r="AK13" i="15"/>
  <c r="AJ13" i="15"/>
  <c r="AI13" i="15"/>
  <c r="AL12" i="15"/>
  <c r="AK12" i="15"/>
  <c r="AJ12" i="15"/>
  <c r="AI12" i="15"/>
  <c r="AL11" i="15"/>
  <c r="AK11" i="15"/>
  <c r="AJ11" i="15"/>
  <c r="AI11" i="15"/>
  <c r="AL10" i="15"/>
  <c r="AK10" i="15"/>
  <c r="AJ10" i="15"/>
  <c r="AI10" i="15"/>
  <c r="AL9" i="15"/>
  <c r="AK9" i="15"/>
  <c r="AJ9" i="15"/>
  <c r="AI9" i="15"/>
  <c r="AL8" i="15"/>
  <c r="AK8" i="15"/>
  <c r="AJ8" i="15"/>
  <c r="AI8" i="15"/>
  <c r="AL7" i="15"/>
  <c r="AK7" i="15"/>
  <c r="AJ7" i="15"/>
  <c r="AI7" i="15"/>
  <c r="AL6" i="15"/>
  <c r="AK6" i="15"/>
  <c r="AJ6" i="15"/>
  <c r="AI6" i="15"/>
  <c r="AK5" i="15"/>
  <c r="AJ5" i="15"/>
  <c r="AI5" i="15"/>
  <c r="AK4" i="15"/>
  <c r="AJ4" i="15"/>
  <c r="AI4" i="15"/>
  <c r="AJ3" i="15"/>
  <c r="AI3" i="15"/>
  <c r="AJ2" i="15"/>
  <c r="AI2" i="15"/>
  <c r="Y44" i="15"/>
  <c r="Y43" i="15"/>
  <c r="Y42" i="15"/>
  <c r="Y41" i="15"/>
  <c r="Y40" i="15"/>
  <c r="Y39" i="15"/>
  <c r="Y36" i="15"/>
  <c r="Y35" i="15"/>
  <c r="Y34" i="15"/>
  <c r="Y33" i="15"/>
  <c r="Y32" i="15"/>
  <c r="Y26" i="15"/>
  <c r="Y25" i="15"/>
  <c r="Y24" i="15"/>
  <c r="Y23" i="15"/>
  <c r="Y22" i="15"/>
  <c r="Y21" i="15"/>
  <c r="Y20" i="15"/>
  <c r="Y19" i="15"/>
  <c r="Y15" i="15"/>
  <c r="Y14" i="15"/>
  <c r="Y13" i="15"/>
  <c r="Y12" i="15"/>
  <c r="Y11" i="15"/>
  <c r="Y10" i="15"/>
  <c r="Y9" i="15"/>
  <c r="Y8" i="15"/>
  <c r="Y7" i="15"/>
  <c r="M104" i="15"/>
  <c r="M101" i="15"/>
  <c r="M98" i="15"/>
  <c r="M92" i="15"/>
  <c r="J104" i="15"/>
  <c r="J103" i="15"/>
  <c r="J100" i="15"/>
  <c r="J97" i="15"/>
  <c r="J91" i="15"/>
  <c r="J90" i="15"/>
  <c r="J89" i="15"/>
  <c r="J88" i="15"/>
  <c r="L102" i="15"/>
  <c r="K102" i="15"/>
  <c r="I102" i="15"/>
  <c r="C102" i="15"/>
  <c r="H102" i="15" s="1"/>
  <c r="K101" i="15"/>
  <c r="L101" i="15" s="1"/>
  <c r="I101" i="15"/>
  <c r="C101" i="15"/>
  <c r="H101" i="15" s="1"/>
  <c r="K99" i="15"/>
  <c r="L99" i="15" s="1"/>
  <c r="I99" i="15"/>
  <c r="C99" i="15"/>
  <c r="H99" i="15" s="1"/>
  <c r="K98" i="15"/>
  <c r="L98" i="15" s="1"/>
  <c r="I98" i="15"/>
  <c r="C98" i="15"/>
  <c r="H98" i="15" s="1"/>
  <c r="K93" i="15"/>
  <c r="L93" i="15" s="1"/>
  <c r="I93" i="15"/>
  <c r="C93" i="15"/>
  <c r="H93" i="15" s="1"/>
  <c r="J94" i="15" s="1"/>
  <c r="K92" i="15"/>
  <c r="L92" i="15" s="1"/>
  <c r="I92" i="15"/>
  <c r="C92" i="15"/>
  <c r="H92" i="15" s="1"/>
  <c r="C97" i="15"/>
  <c r="H97" i="15" s="1"/>
  <c r="I97" i="15"/>
  <c r="K97" i="15"/>
  <c r="C100" i="15"/>
  <c r="H100" i="15" s="1"/>
  <c r="I100" i="15"/>
  <c r="K100" i="15"/>
  <c r="K104" i="15"/>
  <c r="K103" i="15"/>
  <c r="K94" i="15"/>
  <c r="K91" i="15"/>
  <c r="K90" i="15"/>
  <c r="K89" i="15"/>
  <c r="K88" i="15"/>
  <c r="K87" i="15"/>
  <c r="L87" i="15" s="1"/>
  <c r="I103" i="15"/>
  <c r="I94" i="15"/>
  <c r="I91" i="15"/>
  <c r="I90" i="15"/>
  <c r="I89" i="15"/>
  <c r="I88" i="15"/>
  <c r="I87" i="15"/>
  <c r="I104" i="15"/>
  <c r="L77" i="15"/>
  <c r="L73" i="15"/>
  <c r="L63" i="15"/>
  <c r="K79" i="15"/>
  <c r="L79" i="15" s="1"/>
  <c r="K78" i="15"/>
  <c r="K77" i="15"/>
  <c r="K76" i="15"/>
  <c r="L76" i="15" s="1"/>
  <c r="K75" i="15"/>
  <c r="K74" i="15"/>
  <c r="L74" i="15" s="1"/>
  <c r="K73" i="15"/>
  <c r="K72" i="15"/>
  <c r="K71" i="15"/>
  <c r="L71" i="15" s="1"/>
  <c r="K70" i="15"/>
  <c r="L70" i="15" s="1"/>
  <c r="K69" i="15"/>
  <c r="K68" i="15"/>
  <c r="L68" i="15" s="1"/>
  <c r="K67" i="15"/>
  <c r="L67" i="15" s="1"/>
  <c r="K66" i="15"/>
  <c r="K65" i="15"/>
  <c r="K64" i="15"/>
  <c r="K63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D205" i="15"/>
  <c r="D206" i="15" s="1"/>
  <c r="D191" i="15"/>
  <c r="D192" i="15" s="1"/>
  <c r="F189" i="15"/>
  <c r="F188" i="15"/>
  <c r="F187" i="15"/>
  <c r="F186" i="15"/>
  <c r="F184" i="15"/>
  <c r="F183" i="15"/>
  <c r="F182" i="15"/>
  <c r="F180" i="15"/>
  <c r="F179" i="15"/>
  <c r="F177" i="15"/>
  <c r="D17" i="15"/>
  <c r="P17" i="15" s="1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F212" i="16" l="1"/>
  <c r="D213" i="16"/>
  <c r="F213" i="16" s="1"/>
  <c r="D199" i="16"/>
  <c r="B137" i="15"/>
  <c r="L131" i="15"/>
  <c r="B138" i="15" s="1"/>
  <c r="B140" i="15" s="1"/>
  <c r="Y113" i="35"/>
  <c r="X113" i="35"/>
  <c r="E168" i="15"/>
  <c r="B168" i="15"/>
  <c r="E138" i="15"/>
  <c r="L126" i="15"/>
  <c r="B106" i="15"/>
  <c r="M95" i="15"/>
  <c r="D207" i="15"/>
  <c r="D208" i="15" s="1"/>
  <c r="F208" i="15" s="1"/>
  <c r="D193" i="15"/>
  <c r="D200" i="16" l="1"/>
  <c r="E169" i="15"/>
  <c r="B170" i="15"/>
  <c r="D194" i="15"/>
  <c r="D201" i="16" l="1"/>
  <c r="D209" i="15"/>
  <c r="D195" i="15"/>
  <c r="D202" i="16" l="1"/>
  <c r="F201" i="16" s="1"/>
  <c r="D210" i="15"/>
  <c r="D196" i="15"/>
  <c r="F195" i="15" s="1"/>
  <c r="F196" i="16" l="1"/>
  <c r="F197" i="16"/>
  <c r="F198" i="16"/>
  <c r="F199" i="16"/>
  <c r="F200" i="16"/>
  <c r="D211" i="15"/>
  <c r="D197" i="15"/>
  <c r="F191" i="15"/>
  <c r="F192" i="15"/>
  <c r="F193" i="15"/>
  <c r="F194" i="15"/>
  <c r="D212" i="15" l="1"/>
  <c r="D198" i="15"/>
  <c r="C24" i="24"/>
  <c r="C22" i="24"/>
  <c r="C21" i="24"/>
  <c r="C19" i="24"/>
  <c r="C18" i="24"/>
  <c r="C16" i="24"/>
  <c r="C15" i="24"/>
  <c r="C13" i="24"/>
  <c r="C12" i="24"/>
  <c r="C10" i="24"/>
  <c r="C11" i="24"/>
  <c r="C8" i="24"/>
  <c r="D213" i="15" l="1"/>
  <c r="D199" i="15"/>
  <c r="D51" i="15"/>
  <c r="D50" i="15"/>
  <c r="D48" i="15"/>
  <c r="D45" i="15"/>
  <c r="P45" i="15" s="1"/>
  <c r="D42" i="15"/>
  <c r="D36" i="15"/>
  <c r="D34" i="15"/>
  <c r="D32" i="15"/>
  <c r="P32" i="15" s="1"/>
  <c r="D31" i="15"/>
  <c r="D28" i="15"/>
  <c r="D26" i="15"/>
  <c r="D23" i="15"/>
  <c r="P23" i="15" s="1"/>
  <c r="D22" i="15"/>
  <c r="D21" i="15"/>
  <c r="D18" i="15"/>
  <c r="P18" i="15" s="1"/>
  <c r="D15" i="15"/>
  <c r="P15" i="15" s="1"/>
  <c r="D12" i="15"/>
  <c r="P12" i="15" s="1"/>
  <c r="D10" i="15"/>
  <c r="P10" i="15" s="1"/>
  <c r="D8" i="15"/>
  <c r="P8" i="15" s="1"/>
  <c r="D6" i="15"/>
  <c r="P6" i="15" s="1"/>
  <c r="D4" i="15"/>
  <c r="P4" i="15" s="1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D46" i="15"/>
  <c r="C104" i="15"/>
  <c r="H104" i="15" s="1"/>
  <c r="C103" i="15"/>
  <c r="H103" i="15" s="1"/>
  <c r="L100" i="15" s="1"/>
  <c r="C94" i="15"/>
  <c r="H94" i="15" s="1"/>
  <c r="C91" i="15"/>
  <c r="H91" i="15" s="1"/>
  <c r="C90" i="15"/>
  <c r="H90" i="15" s="1"/>
  <c r="C89" i="15"/>
  <c r="H89" i="15" s="1"/>
  <c r="C88" i="15"/>
  <c r="H88" i="15" s="1"/>
  <c r="C87" i="15"/>
  <c r="H87" i="15" s="1"/>
  <c r="D43" i="15"/>
  <c r="D40" i="15"/>
  <c r="D35" i="15"/>
  <c r="D24" i="15"/>
  <c r="D13" i="15"/>
  <c r="P13" i="15" s="1"/>
  <c r="D9" i="15"/>
  <c r="P9" i="15" s="1"/>
  <c r="D7" i="15"/>
  <c r="P7" i="15" s="1"/>
  <c r="C79" i="15"/>
  <c r="H79" i="15" s="1"/>
  <c r="C78" i="15"/>
  <c r="H78" i="15" s="1"/>
  <c r="C77" i="15"/>
  <c r="H77" i="15" s="1"/>
  <c r="C76" i="15"/>
  <c r="H76" i="15" s="1"/>
  <c r="C75" i="15"/>
  <c r="H75" i="15" s="1"/>
  <c r="C74" i="15"/>
  <c r="H74" i="15" s="1"/>
  <c r="C73" i="15"/>
  <c r="H73" i="15" s="1"/>
  <c r="C72" i="15"/>
  <c r="H72" i="15" s="1"/>
  <c r="C71" i="15"/>
  <c r="H71" i="15" s="1"/>
  <c r="C70" i="15"/>
  <c r="H70" i="15" s="1"/>
  <c r="C69" i="15"/>
  <c r="H69" i="15" s="1"/>
  <c r="C68" i="15"/>
  <c r="H68" i="15" s="1"/>
  <c r="C67" i="15"/>
  <c r="H67" i="15" s="1"/>
  <c r="C66" i="15"/>
  <c r="H66" i="15" s="1"/>
  <c r="J65" i="15" s="1"/>
  <c r="L65" i="15" s="1"/>
  <c r="C65" i="15"/>
  <c r="H65" i="15" s="1"/>
  <c r="C64" i="15"/>
  <c r="H64" i="15" s="1"/>
  <c r="C63" i="15"/>
  <c r="H63" i="15" s="1"/>
  <c r="C41" i="5"/>
  <c r="C39" i="5"/>
  <c r="C38" i="5"/>
  <c r="C36" i="5"/>
  <c r="C35" i="5"/>
  <c r="C33" i="5"/>
  <c r="C32" i="5"/>
  <c r="C30" i="5"/>
  <c r="C29" i="5"/>
  <c r="C25" i="5"/>
  <c r="C40" i="5"/>
  <c r="C37" i="5"/>
  <c r="C34" i="5"/>
  <c r="C31" i="5"/>
  <c r="C28" i="5"/>
  <c r="C27" i="5"/>
  <c r="C26" i="5"/>
  <c r="B58" i="15"/>
  <c r="AN43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K115" i="14"/>
  <c r="I115" i="14"/>
  <c r="K114" i="14"/>
  <c r="L114" i="14" s="1"/>
  <c r="I114" i="14"/>
  <c r="K125" i="14"/>
  <c r="L125" i="14" s="1"/>
  <c r="I125" i="14"/>
  <c r="K124" i="14"/>
  <c r="I124" i="14"/>
  <c r="K123" i="14"/>
  <c r="I123" i="14"/>
  <c r="K122" i="14"/>
  <c r="I122" i="14"/>
  <c r="K121" i="14"/>
  <c r="I121" i="14"/>
  <c r="K120" i="14"/>
  <c r="I120" i="14"/>
  <c r="K119" i="14"/>
  <c r="I119" i="14"/>
  <c r="K118" i="14"/>
  <c r="I118" i="14"/>
  <c r="K117" i="14"/>
  <c r="I117" i="14"/>
  <c r="K116" i="14"/>
  <c r="I116" i="14"/>
  <c r="AM41" i="14"/>
  <c r="AM40" i="14"/>
  <c r="AM39" i="14"/>
  <c r="AM38" i="14"/>
  <c r="AM37" i="14"/>
  <c r="AM36" i="14"/>
  <c r="AM35" i="14"/>
  <c r="AM34" i="14"/>
  <c r="AM33" i="14"/>
  <c r="AM32" i="14"/>
  <c r="AM31" i="14"/>
  <c r="AM30" i="14"/>
  <c r="AM29" i="14"/>
  <c r="AM28" i="14"/>
  <c r="AM27" i="14"/>
  <c r="AM26" i="14"/>
  <c r="AM25" i="14"/>
  <c r="AM24" i="14"/>
  <c r="AM23" i="14"/>
  <c r="AM22" i="14"/>
  <c r="AM21" i="14"/>
  <c r="AM20" i="14"/>
  <c r="AM19" i="14"/>
  <c r="AM18" i="14"/>
  <c r="AM17" i="14"/>
  <c r="AM16" i="14"/>
  <c r="AM15" i="14"/>
  <c r="AM14" i="14"/>
  <c r="AM13" i="14"/>
  <c r="AM12" i="14"/>
  <c r="AM11" i="14"/>
  <c r="AM10" i="14"/>
  <c r="AM9" i="14"/>
  <c r="AM8" i="14"/>
  <c r="AM7" i="14"/>
  <c r="AM6" i="14"/>
  <c r="AM5" i="14"/>
  <c r="AM4" i="14"/>
  <c r="AM3" i="14"/>
  <c r="K105" i="14"/>
  <c r="K103" i="14"/>
  <c r="K101" i="14"/>
  <c r="K99" i="14"/>
  <c r="K97" i="14"/>
  <c r="K95" i="14"/>
  <c r="K93" i="14"/>
  <c r="K91" i="14"/>
  <c r="K89" i="14"/>
  <c r="K87" i="14"/>
  <c r="K70" i="14"/>
  <c r="I105" i="14"/>
  <c r="I104" i="14"/>
  <c r="I103" i="14"/>
  <c r="I101" i="14"/>
  <c r="I99" i="14"/>
  <c r="I97" i="14"/>
  <c r="I95" i="14"/>
  <c r="I93" i="14"/>
  <c r="I91" i="14"/>
  <c r="I89" i="14"/>
  <c r="I87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K77" i="14"/>
  <c r="I77" i="14"/>
  <c r="K76" i="14"/>
  <c r="I76" i="14"/>
  <c r="K75" i="14"/>
  <c r="I75" i="14"/>
  <c r="K74" i="14"/>
  <c r="I74" i="14"/>
  <c r="K73" i="14"/>
  <c r="I73" i="14"/>
  <c r="K72" i="14"/>
  <c r="I72" i="14"/>
  <c r="K71" i="14"/>
  <c r="I71" i="14"/>
  <c r="I70" i="14"/>
  <c r="K69" i="14"/>
  <c r="I69" i="14"/>
  <c r="K78" i="14"/>
  <c r="L78" i="14" s="1"/>
  <c r="I78" i="14"/>
  <c r="K68" i="14"/>
  <c r="L68" i="14" s="1"/>
  <c r="I68" i="14"/>
  <c r="AK39" i="14"/>
  <c r="AK38" i="14"/>
  <c r="AK37" i="14"/>
  <c r="AK36" i="14"/>
  <c r="AK35" i="14"/>
  <c r="AK34" i="14"/>
  <c r="AK33" i="14"/>
  <c r="AK32" i="14"/>
  <c r="AK31" i="14"/>
  <c r="AK30" i="14"/>
  <c r="AK29" i="14"/>
  <c r="AK28" i="14"/>
  <c r="AK27" i="14"/>
  <c r="AK26" i="14"/>
  <c r="AK25" i="14"/>
  <c r="AK24" i="14"/>
  <c r="AK23" i="14"/>
  <c r="AK22" i="14"/>
  <c r="AK21" i="14"/>
  <c r="AK20" i="14"/>
  <c r="AK19" i="14"/>
  <c r="AK18" i="14"/>
  <c r="AK17" i="14"/>
  <c r="AK16" i="14"/>
  <c r="AK15" i="14"/>
  <c r="AK14" i="14"/>
  <c r="AK13" i="14"/>
  <c r="AK12" i="14"/>
  <c r="AK11" i="14"/>
  <c r="AK10" i="14"/>
  <c r="AK9" i="14"/>
  <c r="AK8" i="14"/>
  <c r="AK7" i="14"/>
  <c r="AK6" i="14"/>
  <c r="AK5" i="14"/>
  <c r="AK4" i="14"/>
  <c r="K61" i="14"/>
  <c r="L61" i="14" s="1"/>
  <c r="K60" i="14"/>
  <c r="K59" i="14"/>
  <c r="K58" i="14"/>
  <c r="K57" i="14"/>
  <c r="K56" i="14"/>
  <c r="K55" i="14"/>
  <c r="K54" i="14"/>
  <c r="L54" i="14" s="1"/>
  <c r="I61" i="14"/>
  <c r="I60" i="14"/>
  <c r="I59" i="14"/>
  <c r="I58" i="14"/>
  <c r="I57" i="14"/>
  <c r="I56" i="14"/>
  <c r="I55" i="14"/>
  <c r="I54" i="14"/>
  <c r="D40" i="14"/>
  <c r="P40" i="14" s="1"/>
  <c r="D38" i="14"/>
  <c r="P38" i="14" s="1"/>
  <c r="AI38" i="14" s="1"/>
  <c r="D36" i="14"/>
  <c r="P36" i="14" s="1"/>
  <c r="AI36" i="14" s="1"/>
  <c r="D32" i="14"/>
  <c r="P32" i="14" s="1"/>
  <c r="AI32" i="14" s="1"/>
  <c r="D31" i="14"/>
  <c r="P31" i="14" s="1"/>
  <c r="AI31" i="14" s="1"/>
  <c r="D29" i="14"/>
  <c r="P29" i="14" s="1"/>
  <c r="AI29" i="14" s="1"/>
  <c r="D27" i="14"/>
  <c r="P27" i="14" s="1"/>
  <c r="AI27" i="14" s="1"/>
  <c r="D26" i="14"/>
  <c r="P26" i="14" s="1"/>
  <c r="AI26" i="14" s="1"/>
  <c r="D24" i="14"/>
  <c r="P24" i="14" s="1"/>
  <c r="AI24" i="14" s="1"/>
  <c r="D23" i="14"/>
  <c r="P23" i="14" s="1"/>
  <c r="AI23" i="14" s="1"/>
  <c r="D20" i="14"/>
  <c r="P20" i="14" s="1"/>
  <c r="AI20" i="14" s="1"/>
  <c r="D19" i="14"/>
  <c r="P19" i="14" s="1"/>
  <c r="AI19" i="14" s="1"/>
  <c r="D15" i="14"/>
  <c r="P15" i="14" s="1"/>
  <c r="AI15" i="14" s="1"/>
  <c r="D11" i="14"/>
  <c r="P11" i="14" s="1"/>
  <c r="AI11" i="14" s="1"/>
  <c r="D10" i="14"/>
  <c r="P10" i="14" s="1"/>
  <c r="AI10" i="14" s="1"/>
  <c r="D8" i="14"/>
  <c r="P8" i="14" s="1"/>
  <c r="AI8" i="14" s="1"/>
  <c r="D7" i="14"/>
  <c r="P7" i="14" s="1"/>
  <c r="AI7" i="14" s="1"/>
  <c r="C91" i="14"/>
  <c r="H91" i="14" s="1"/>
  <c r="C90" i="14"/>
  <c r="H90" i="14" s="1"/>
  <c r="C89" i="14"/>
  <c r="H89" i="14" s="1"/>
  <c r="C88" i="14"/>
  <c r="J87" i="14" s="1"/>
  <c r="C87" i="14"/>
  <c r="H87" i="14" s="1"/>
  <c r="C86" i="14"/>
  <c r="H86" i="14" s="1"/>
  <c r="D16" i="14"/>
  <c r="P16" i="14" s="1"/>
  <c r="AI16" i="14" s="1"/>
  <c r="C125" i="14"/>
  <c r="C124" i="14"/>
  <c r="H124" i="14" s="1"/>
  <c r="C123" i="14"/>
  <c r="H123" i="14" s="1"/>
  <c r="C122" i="14"/>
  <c r="H122" i="14" s="1"/>
  <c r="C121" i="14"/>
  <c r="H121" i="14" s="1"/>
  <c r="C120" i="14"/>
  <c r="H120" i="14" s="1"/>
  <c r="C119" i="14"/>
  <c r="H119" i="14" s="1"/>
  <c r="C118" i="14"/>
  <c r="H118" i="14" s="1"/>
  <c r="C117" i="14"/>
  <c r="H117" i="14" s="1"/>
  <c r="C116" i="14"/>
  <c r="H116" i="14" s="1"/>
  <c r="C115" i="14"/>
  <c r="H115" i="14" s="1"/>
  <c r="D34" i="14"/>
  <c r="P34" i="14" s="1"/>
  <c r="AI34" i="14" s="1"/>
  <c r="D5" i="14"/>
  <c r="P5" i="14" s="1"/>
  <c r="C106" i="14"/>
  <c r="C105" i="14"/>
  <c r="H105" i="14" s="1"/>
  <c r="C104" i="14"/>
  <c r="C103" i="14"/>
  <c r="H103" i="14" s="1"/>
  <c r="C102" i="14"/>
  <c r="H102" i="14" s="1"/>
  <c r="C101" i="14"/>
  <c r="H101" i="14" s="1"/>
  <c r="C100" i="14"/>
  <c r="H100" i="14" s="1"/>
  <c r="C99" i="14"/>
  <c r="H99" i="14" s="1"/>
  <c r="C98" i="14"/>
  <c r="H98" i="14" s="1"/>
  <c r="C97" i="14"/>
  <c r="H97" i="14" s="1"/>
  <c r="C96" i="14"/>
  <c r="H96" i="14" s="1"/>
  <c r="C95" i="14"/>
  <c r="H95" i="14" s="1"/>
  <c r="C94" i="14"/>
  <c r="C93" i="14"/>
  <c r="H93" i="14" s="1"/>
  <c r="C92" i="14"/>
  <c r="H92" i="14" s="1"/>
  <c r="C17" i="19"/>
  <c r="C16" i="19"/>
  <c r="C78" i="14"/>
  <c r="C77" i="14"/>
  <c r="H77" i="14" s="1"/>
  <c r="C76" i="14"/>
  <c r="H76" i="14" s="1"/>
  <c r="C75" i="14"/>
  <c r="H75" i="14" s="1"/>
  <c r="C74" i="14"/>
  <c r="H74" i="14" s="1"/>
  <c r="C73" i="14"/>
  <c r="H73" i="14" s="1"/>
  <c r="C72" i="14"/>
  <c r="H72" i="14" s="1"/>
  <c r="C71" i="14"/>
  <c r="H71" i="14" s="1"/>
  <c r="C70" i="14"/>
  <c r="H70" i="14" s="1"/>
  <c r="C69" i="14"/>
  <c r="H69" i="14" s="1"/>
  <c r="J69" i="14" s="1"/>
  <c r="J115" i="14" l="1"/>
  <c r="J121" i="14"/>
  <c r="L121" i="14" s="1"/>
  <c r="J116" i="14"/>
  <c r="J118" i="14"/>
  <c r="L118" i="14" s="1"/>
  <c r="J124" i="14"/>
  <c r="L124" i="14" s="1"/>
  <c r="J122" i="14"/>
  <c r="L122" i="14" s="1"/>
  <c r="J119" i="14"/>
  <c r="L119" i="14" s="1"/>
  <c r="L120" i="14"/>
  <c r="J120" i="14"/>
  <c r="L115" i="14"/>
  <c r="J123" i="14"/>
  <c r="L123" i="14" s="1"/>
  <c r="J117" i="14"/>
  <c r="L69" i="14"/>
  <c r="AI40" i="14"/>
  <c r="J71" i="14"/>
  <c r="L71" i="14" s="1"/>
  <c r="J70" i="14"/>
  <c r="AI5" i="14"/>
  <c r="L90" i="15"/>
  <c r="L88" i="15"/>
  <c r="J66" i="15"/>
  <c r="L66" i="15" s="1"/>
  <c r="M67" i="15"/>
  <c r="J75" i="15"/>
  <c r="L75" i="15" s="1"/>
  <c r="M76" i="15"/>
  <c r="L89" i="15"/>
  <c r="L91" i="15"/>
  <c r="M79" i="15"/>
  <c r="J78" i="15"/>
  <c r="L78" i="15" s="1"/>
  <c r="J64" i="15"/>
  <c r="L64" i="15" s="1"/>
  <c r="L97" i="15"/>
  <c r="M70" i="15"/>
  <c r="J69" i="15"/>
  <c r="L104" i="15"/>
  <c r="L103" i="15"/>
  <c r="M73" i="15"/>
  <c r="J72" i="15"/>
  <c r="L72" i="15" s="1"/>
  <c r="U14" i="15"/>
  <c r="P21" i="15"/>
  <c r="P36" i="15"/>
  <c r="P22" i="15"/>
  <c r="P42" i="15"/>
  <c r="Q39" i="15"/>
  <c r="Q33" i="15"/>
  <c r="P26" i="15"/>
  <c r="P48" i="15"/>
  <c r="P24" i="15"/>
  <c r="P50" i="15"/>
  <c r="P35" i="15"/>
  <c r="P31" i="15"/>
  <c r="P51" i="15"/>
  <c r="P40" i="15"/>
  <c r="P46" i="15"/>
  <c r="P28" i="15"/>
  <c r="P43" i="15"/>
  <c r="U44" i="15" s="1"/>
  <c r="P34" i="15"/>
  <c r="D214" i="15"/>
  <c r="D200" i="15"/>
  <c r="Q2" i="15"/>
  <c r="Q3" i="15"/>
  <c r="Q11" i="15"/>
  <c r="Q25" i="15"/>
  <c r="Q27" i="15"/>
  <c r="Q30" i="15"/>
  <c r="Q41" i="15"/>
  <c r="Q44" i="15"/>
  <c r="Q49" i="15"/>
  <c r="Q5" i="15"/>
  <c r="U5" i="15" s="1"/>
  <c r="Q29" i="15"/>
  <c r="Q47" i="15"/>
  <c r="Q14" i="15"/>
  <c r="Q52" i="15"/>
  <c r="Q16" i="15"/>
  <c r="Q37" i="15"/>
  <c r="Q53" i="15"/>
  <c r="Q19" i="15"/>
  <c r="Q38" i="15"/>
  <c r="Q54" i="15"/>
  <c r="Q20" i="15"/>
  <c r="L116" i="14"/>
  <c r="J76" i="14"/>
  <c r="J103" i="14"/>
  <c r="L103" i="14" s="1"/>
  <c r="J72" i="14"/>
  <c r="J73" i="14"/>
  <c r="L73" i="14" s="1"/>
  <c r="J74" i="14"/>
  <c r="L74" i="14" s="1"/>
  <c r="J93" i="14"/>
  <c r="L93" i="14" s="1"/>
  <c r="J75" i="14"/>
  <c r="L75" i="14" s="1"/>
  <c r="J91" i="14"/>
  <c r="L91" i="14" s="1"/>
  <c r="J105" i="14"/>
  <c r="L105" i="14" s="1"/>
  <c r="L87" i="14"/>
  <c r="J77" i="14"/>
  <c r="L77" i="14" s="1"/>
  <c r="J89" i="14"/>
  <c r="L89" i="14" s="1"/>
  <c r="L72" i="14"/>
  <c r="J95" i="14"/>
  <c r="L95" i="14" s="1"/>
  <c r="L76" i="14"/>
  <c r="J97" i="14"/>
  <c r="L97" i="14" s="1"/>
  <c r="J99" i="14"/>
  <c r="L99" i="14" s="1"/>
  <c r="J101" i="14"/>
  <c r="L101" i="14" s="1"/>
  <c r="L70" i="14"/>
  <c r="H106" i="14"/>
  <c r="H88" i="14"/>
  <c r="H104" i="14"/>
  <c r="H94" i="14"/>
  <c r="D150" i="14"/>
  <c r="F148" i="14"/>
  <c r="F147" i="14"/>
  <c r="F146" i="14"/>
  <c r="F145" i="14"/>
  <c r="F143" i="14"/>
  <c r="F142" i="14"/>
  <c r="F141" i="14"/>
  <c r="F139" i="14"/>
  <c r="F138" i="14"/>
  <c r="F136" i="14"/>
  <c r="D28" i="14"/>
  <c r="P28" i="14" s="1"/>
  <c r="AI28" i="14" s="1"/>
  <c r="D22" i="14"/>
  <c r="P22" i="14" s="1"/>
  <c r="D18" i="14"/>
  <c r="P18" i="14" s="1"/>
  <c r="D14" i="14"/>
  <c r="P14" i="14" s="1"/>
  <c r="AI14" i="14" s="1"/>
  <c r="D13" i="14"/>
  <c r="P13" i="14" s="1"/>
  <c r="D6" i="14"/>
  <c r="P6" i="14" s="1"/>
  <c r="AI6" i="14" s="1"/>
  <c r="C60" i="14"/>
  <c r="H60" i="14" s="1"/>
  <c r="C59" i="14"/>
  <c r="H59" i="14" s="1"/>
  <c r="C58" i="14"/>
  <c r="H58" i="14" s="1"/>
  <c r="C57" i="14"/>
  <c r="H57" i="14" s="1"/>
  <c r="C56" i="14"/>
  <c r="H56" i="14" s="1"/>
  <c r="C55" i="14"/>
  <c r="H55" i="14" s="1"/>
  <c r="B49" i="14"/>
  <c r="B127" i="14" l="1"/>
  <c r="J55" i="14"/>
  <c r="L55" i="14" s="1"/>
  <c r="L117" i="14"/>
  <c r="B128" i="14" s="1"/>
  <c r="B130" i="14" s="1"/>
  <c r="J56" i="14"/>
  <c r="Q45" i="14"/>
  <c r="AJ45" i="14" s="1"/>
  <c r="Q2" i="14"/>
  <c r="AJ2" i="14" s="1"/>
  <c r="J57" i="14"/>
  <c r="L57" i="14" s="1"/>
  <c r="U11" i="15"/>
  <c r="B81" i="15"/>
  <c r="L69" i="15"/>
  <c r="B82" i="15" s="1"/>
  <c r="B84" i="15" s="1"/>
  <c r="L94" i="15"/>
  <c r="B107" i="15" s="1"/>
  <c r="B109" i="15" s="1"/>
  <c r="U25" i="15"/>
  <c r="U41" i="15"/>
  <c r="U33" i="15"/>
  <c r="AF5" i="15"/>
  <c r="AF3" i="15"/>
  <c r="AF49" i="15"/>
  <c r="F214" i="15"/>
  <c r="D201" i="15"/>
  <c r="B81" i="14"/>
  <c r="L56" i="14"/>
  <c r="AI22" i="14"/>
  <c r="AI13" i="14"/>
  <c r="B80" i="14"/>
  <c r="J59" i="14"/>
  <c r="L59" i="14" s="1"/>
  <c r="B109" i="14"/>
  <c r="B111" i="14" s="1"/>
  <c r="J58" i="14"/>
  <c r="L58" i="14" s="1"/>
  <c r="J60" i="14"/>
  <c r="L60" i="14" s="1"/>
  <c r="AI18" i="14"/>
  <c r="B108" i="14"/>
  <c r="Q9" i="14"/>
  <c r="D151" i="14"/>
  <c r="Q30" i="14"/>
  <c r="Q44" i="14"/>
  <c r="AJ44" i="14" s="1"/>
  <c r="Q4" i="14"/>
  <c r="AJ4" i="14" s="1"/>
  <c r="Q35" i="14"/>
  <c r="Q37" i="14"/>
  <c r="Q12" i="14"/>
  <c r="AG12" i="14" s="1"/>
  <c r="Q39" i="14"/>
  <c r="Q17" i="14"/>
  <c r="AJ17" i="14" s="1"/>
  <c r="Q41" i="14"/>
  <c r="AJ41" i="14" s="1"/>
  <c r="Q21" i="14"/>
  <c r="AJ21" i="14" s="1"/>
  <c r="Q42" i="14"/>
  <c r="AJ42" i="14" s="1"/>
  <c r="Q25" i="14"/>
  <c r="Q43" i="14"/>
  <c r="AJ43" i="14" s="1"/>
  <c r="Q3" i="14"/>
  <c r="AJ3" i="14" s="1"/>
  <c r="Q33" i="14"/>
  <c r="Y17" i="14" l="1"/>
  <c r="U12" i="14"/>
  <c r="AG17" i="14"/>
  <c r="U17" i="14"/>
  <c r="AC12" i="14"/>
  <c r="Y12" i="14"/>
  <c r="AG21" i="14"/>
  <c r="AJ35" i="14"/>
  <c r="U35" i="14"/>
  <c r="Y35" i="14"/>
  <c r="AG35" i="14"/>
  <c r="AC35" i="14"/>
  <c r="AJ39" i="14"/>
  <c r="AC39" i="14"/>
  <c r="U39" i="14"/>
  <c r="AG39" i="14"/>
  <c r="Y39" i="14"/>
  <c r="AC21" i="14"/>
  <c r="AG9" i="14"/>
  <c r="Y9" i="14"/>
  <c r="AC9" i="14"/>
  <c r="U9" i="14"/>
  <c r="AJ37" i="14"/>
  <c r="AG37" i="14"/>
  <c r="Y37" i="14"/>
  <c r="AC37" i="14"/>
  <c r="U37" i="14"/>
  <c r="Y21" i="14"/>
  <c r="AJ30" i="14"/>
  <c r="Y30" i="14"/>
  <c r="AG30" i="14"/>
  <c r="AC30" i="14"/>
  <c r="U30" i="14"/>
  <c r="AJ33" i="14"/>
  <c r="AG33" i="14"/>
  <c r="U33" i="14"/>
  <c r="Y33" i="14"/>
  <c r="AC33" i="14"/>
  <c r="U21" i="14"/>
  <c r="AJ25" i="14"/>
  <c r="AG25" i="14"/>
  <c r="U25" i="14"/>
  <c r="AC25" i="14"/>
  <c r="Y25" i="14"/>
  <c r="AC17" i="14"/>
  <c r="F207" i="15"/>
  <c r="F206" i="15"/>
  <c r="F205" i="15"/>
  <c r="F209" i="15"/>
  <c r="F210" i="15"/>
  <c r="F211" i="15"/>
  <c r="F212" i="15"/>
  <c r="F213" i="15"/>
  <c r="D202" i="15"/>
  <c r="B83" i="14"/>
  <c r="B62" i="14"/>
  <c r="B63" i="14"/>
  <c r="B65" i="14" s="1"/>
  <c r="AF12" i="14"/>
  <c r="AJ12" i="14"/>
  <c r="AF9" i="14"/>
  <c r="AJ9" i="14"/>
  <c r="X12" i="14"/>
  <c r="X9" i="14"/>
  <c r="D152" i="14"/>
  <c r="D203" i="15" l="1"/>
  <c r="D153" i="14"/>
  <c r="F197" i="15" l="1"/>
  <c r="F198" i="15"/>
  <c r="F199" i="15"/>
  <c r="F200" i="15"/>
  <c r="F201" i="15"/>
  <c r="F202" i="15"/>
  <c r="D154" i="14"/>
  <c r="D155" i="14" l="1"/>
  <c r="F154" i="14" l="1"/>
  <c r="D156" i="14"/>
  <c r="F150" i="14"/>
  <c r="F151" i="14"/>
  <c r="F152" i="14"/>
  <c r="F153" i="14"/>
  <c r="D157" i="14" l="1"/>
  <c r="D158" i="14" l="1"/>
  <c r="D159" i="14" l="1"/>
  <c r="D160" i="14" l="1"/>
  <c r="D161" i="14" l="1"/>
  <c r="D162" i="14" l="1"/>
  <c r="F161" i="14" s="1"/>
  <c r="F156" i="14" l="1"/>
  <c r="F157" i="14"/>
  <c r="F158" i="14"/>
  <c r="F159" i="14"/>
  <c r="F160" i="14"/>
  <c r="D3" i="14" l="1"/>
  <c r="P3" i="14" s="1"/>
  <c r="C9" i="32"/>
  <c r="C16" i="32"/>
  <c r="C15" i="32"/>
  <c r="C14" i="32"/>
  <c r="C13" i="32"/>
  <c r="C12" i="32"/>
  <c r="C11" i="32"/>
  <c r="C10" i="32"/>
  <c r="C8" i="32"/>
  <c r="C7" i="32"/>
  <c r="C6" i="32"/>
  <c r="C5" i="32"/>
  <c r="C4" i="32"/>
  <c r="C3" i="32"/>
  <c r="C25" i="31"/>
  <c r="C24" i="31"/>
  <c r="C23" i="31"/>
  <c r="C22" i="31"/>
  <c r="C11" i="31"/>
  <c r="C13" i="31"/>
  <c r="C10" i="31"/>
  <c r="C6" i="31"/>
  <c r="C8" i="31"/>
  <c r="C9" i="31"/>
  <c r="C15" i="31"/>
  <c r="C16" i="31"/>
  <c r="C17" i="31"/>
  <c r="C18" i="31"/>
  <c r="C19" i="31"/>
  <c r="C20" i="31"/>
  <c r="C21" i="31"/>
  <c r="C14" i="31"/>
  <c r="C5" i="31"/>
  <c r="C4" i="31"/>
  <c r="C3" i="31"/>
  <c r="C14" i="30"/>
  <c r="C13" i="30"/>
  <c r="C12" i="30"/>
  <c r="C11" i="30"/>
  <c r="C10" i="30"/>
  <c r="C9" i="30"/>
  <c r="C8" i="30"/>
  <c r="C7" i="30"/>
  <c r="C6" i="30"/>
  <c r="C5" i="30"/>
  <c r="C4" i="30"/>
  <c r="C3" i="30"/>
  <c r="C4" i="29"/>
  <c r="D48" i="17"/>
  <c r="P48" i="17" s="1"/>
  <c r="AI48" i="17" s="1"/>
  <c r="D47" i="17"/>
  <c r="P47" i="17" s="1"/>
  <c r="AI47" i="17" s="1"/>
  <c r="U4" i="14" l="1"/>
  <c r="AG4" i="14"/>
  <c r="AI3" i="14"/>
  <c r="Y4" i="14"/>
  <c r="AC4" i="14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3" i="29"/>
  <c r="C20" i="28" l="1"/>
  <c r="C7" i="28"/>
  <c r="C9" i="28"/>
  <c r="C19" i="28"/>
  <c r="C18" i="28"/>
  <c r="C17" i="28"/>
  <c r="C16" i="28"/>
  <c r="C14" i="28"/>
  <c r="C13" i="28"/>
  <c r="C12" i="28"/>
  <c r="C11" i="28"/>
  <c r="C10" i="28"/>
  <c r="C8" i="28"/>
  <c r="C6" i="28"/>
  <c r="C5" i="28"/>
  <c r="C4" i="28"/>
  <c r="C3" i="28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8" i="26"/>
  <c r="C5" i="26"/>
  <c r="C13" i="26"/>
  <c r="C12" i="26"/>
  <c r="C11" i="26"/>
  <c r="C10" i="26"/>
  <c r="C9" i="26"/>
  <c r="C7" i="26"/>
  <c r="C6" i="26"/>
  <c r="C4" i="26"/>
  <c r="C3" i="26"/>
  <c r="C21" i="25"/>
  <c r="C20" i="25"/>
  <c r="C19" i="25"/>
  <c r="C18" i="25"/>
  <c r="C17" i="25"/>
  <c r="C16" i="25"/>
  <c r="C15" i="25"/>
  <c r="C14" i="25"/>
  <c r="C13" i="25"/>
  <c r="C12" i="25"/>
  <c r="C11" i="25"/>
  <c r="C8" i="25"/>
  <c r="C9" i="25"/>
  <c r="C10" i="25"/>
  <c r="C6" i="25"/>
  <c r="C5" i="25"/>
  <c r="C20" i="5"/>
  <c r="C19" i="5"/>
  <c r="C18" i="5"/>
  <c r="C11" i="5"/>
  <c r="C17" i="5"/>
  <c r="C16" i="5"/>
  <c r="C15" i="5"/>
  <c r="C14" i="5"/>
  <c r="C13" i="5"/>
  <c r="C12" i="5"/>
  <c r="C7" i="25"/>
  <c r="C4" i="25"/>
  <c r="C3" i="25"/>
  <c r="C7" i="24"/>
  <c r="C25" i="24" l="1"/>
  <c r="C23" i="24"/>
  <c r="C20" i="24"/>
  <c r="C17" i="24"/>
  <c r="C14" i="24"/>
  <c r="C9" i="24"/>
  <c r="C6" i="24"/>
  <c r="C5" i="24"/>
  <c r="C4" i="24"/>
  <c r="C3" i="24"/>
  <c r="C26" i="23" l="1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25" i="22"/>
  <c r="C13" i="22"/>
  <c r="C26" i="22"/>
  <c r="C24" i="22"/>
  <c r="C23" i="22"/>
  <c r="C22" i="22"/>
  <c r="C21" i="22"/>
  <c r="C20" i="22"/>
  <c r="C19" i="22"/>
  <c r="C18" i="22"/>
  <c r="C17" i="22"/>
  <c r="C16" i="22"/>
  <c r="C15" i="22"/>
  <c r="C14" i="22"/>
  <c r="C12" i="22" l="1"/>
  <c r="C11" i="22"/>
  <c r="C10" i="22"/>
  <c r="C9" i="22"/>
  <c r="C8" i="22"/>
  <c r="C7" i="22"/>
  <c r="C6" i="22"/>
  <c r="C5" i="22"/>
  <c r="C4" i="22"/>
  <c r="C3" i="22"/>
  <c r="C12" i="21"/>
  <c r="C14" i="21"/>
  <c r="C13" i="21"/>
  <c r="C11" i="21"/>
  <c r="C10" i="21"/>
  <c r="C9" i="21"/>
  <c r="C8" i="21"/>
  <c r="C7" i="21"/>
  <c r="C6" i="21"/>
  <c r="C5" i="21"/>
  <c r="C3" i="21"/>
  <c r="C4" i="21"/>
  <c r="C8" i="5"/>
  <c r="C9" i="5"/>
  <c r="C7" i="5"/>
  <c r="C6" i="5"/>
  <c r="C5" i="5"/>
  <c r="C4" i="5"/>
  <c r="C3" i="5"/>
  <c r="D54" i="15"/>
  <c r="D53" i="15"/>
  <c r="D52" i="15"/>
  <c r="D49" i="15"/>
  <c r="D47" i="15"/>
  <c r="P52" i="15" l="1"/>
  <c r="P53" i="15"/>
  <c r="P54" i="15"/>
  <c r="P47" i="15"/>
  <c r="Q48" i="15"/>
  <c r="AB48" i="15" s="1"/>
  <c r="P49" i="15"/>
  <c r="Q51" i="15"/>
  <c r="AB51" i="15" s="1"/>
  <c r="Q50" i="15"/>
  <c r="AB50" i="15" s="1"/>
  <c r="C13" i="20"/>
  <c r="C12" i="20"/>
  <c r="C11" i="20"/>
  <c r="C10" i="20"/>
  <c r="C9" i="20"/>
  <c r="C8" i="20"/>
  <c r="C7" i="20"/>
  <c r="C6" i="20"/>
  <c r="C5" i="20"/>
  <c r="C4" i="20"/>
  <c r="C3" i="20"/>
  <c r="C21" i="19"/>
  <c r="C22" i="19"/>
  <c r="C23" i="19"/>
  <c r="C8" i="19"/>
  <c r="C10" i="19"/>
  <c r="C20" i="19"/>
  <c r="C18" i="19"/>
  <c r="C19" i="19"/>
  <c r="C15" i="19"/>
  <c r="C14" i="19"/>
  <c r="C13" i="19"/>
  <c r="C12" i="19"/>
  <c r="C11" i="19"/>
  <c r="C9" i="19"/>
  <c r="C6" i="19"/>
  <c r="C7" i="19"/>
  <c r="C5" i="19"/>
  <c r="C4" i="19"/>
  <c r="C3" i="19"/>
  <c r="C12" i="18"/>
  <c r="C11" i="18"/>
  <c r="C10" i="18"/>
  <c r="C9" i="18"/>
  <c r="C8" i="18"/>
  <c r="C7" i="18"/>
  <c r="C6" i="18"/>
  <c r="C5" i="18"/>
  <c r="C4" i="18"/>
  <c r="C3" i="18"/>
  <c r="C8" i="7"/>
  <c r="C7" i="7"/>
  <c r="C6" i="7"/>
  <c r="C5" i="7"/>
  <c r="C4" i="7"/>
  <c r="C3" i="7"/>
  <c r="O45" i="14"/>
  <c r="O44" i="14"/>
  <c r="O43" i="14"/>
  <c r="O42" i="14"/>
  <c r="O41" i="14"/>
  <c r="O39" i="14"/>
  <c r="O37" i="14"/>
  <c r="O35" i="14"/>
  <c r="O33" i="14"/>
  <c r="O30" i="14"/>
  <c r="O25" i="14"/>
  <c r="O21" i="14"/>
  <c r="O17" i="14"/>
  <c r="O12" i="14"/>
  <c r="O9" i="14"/>
  <c r="O4" i="14"/>
  <c r="O3" i="14"/>
  <c r="O2" i="14"/>
  <c r="O54" i="15"/>
  <c r="O53" i="15"/>
  <c r="O52" i="15"/>
  <c r="O49" i="15"/>
  <c r="O47" i="15"/>
  <c r="O44" i="15"/>
  <c r="O41" i="15"/>
  <c r="O39" i="15"/>
  <c r="O38" i="15"/>
  <c r="O37" i="15"/>
  <c r="O33" i="15"/>
  <c r="O30" i="15"/>
  <c r="O29" i="15"/>
  <c r="O27" i="15"/>
  <c r="O25" i="15"/>
  <c r="O20" i="15"/>
  <c r="O19" i="15"/>
  <c r="O16" i="15"/>
  <c r="O14" i="15"/>
  <c r="O11" i="15"/>
  <c r="O5" i="15"/>
  <c r="O3" i="15"/>
  <c r="O2" i="15"/>
  <c r="O48" i="17"/>
  <c r="O47" i="17"/>
  <c r="O46" i="17"/>
  <c r="O45" i="17"/>
  <c r="O44" i="17"/>
  <c r="O43" i="17"/>
  <c r="O42" i="17"/>
  <c r="O38" i="17"/>
  <c r="O34" i="17"/>
  <c r="O31" i="17"/>
  <c r="O28" i="17"/>
  <c r="O24" i="17"/>
  <c r="O19" i="17"/>
  <c r="O7" i="17"/>
  <c r="O5" i="17"/>
  <c r="O4" i="17"/>
  <c r="O3" i="17"/>
  <c r="O2" i="17"/>
  <c r="D46" i="17"/>
  <c r="P46" i="17" s="1"/>
  <c r="AI46" i="17" s="1"/>
  <c r="D45" i="17"/>
  <c r="P45" i="17" s="1"/>
  <c r="AI45" i="17" s="1"/>
  <c r="D44" i="17"/>
  <c r="P44" i="17" s="1"/>
  <c r="AI44" i="17" s="1"/>
  <c r="D43" i="17"/>
  <c r="P43" i="17" s="1"/>
  <c r="AI43" i="17" s="1"/>
  <c r="D42" i="17"/>
  <c r="P42" i="17" s="1"/>
  <c r="AI42" i="17" s="1"/>
  <c r="D38" i="17"/>
  <c r="D34" i="17"/>
  <c r="D31" i="17"/>
  <c r="D28" i="17"/>
  <c r="D24" i="17"/>
  <c r="D19" i="17"/>
  <c r="D7" i="17"/>
  <c r="D5" i="17"/>
  <c r="D4" i="17"/>
  <c r="P4" i="17" s="1"/>
  <c r="AI4" i="17" s="1"/>
  <c r="D3" i="17"/>
  <c r="P3" i="17" s="1"/>
  <c r="AI3" i="17" s="1"/>
  <c r="D2" i="17"/>
  <c r="P2" i="17" s="1"/>
  <c r="AI2" i="17" s="1"/>
  <c r="D44" i="15"/>
  <c r="D41" i="15"/>
  <c r="D39" i="15"/>
  <c r="D38" i="15"/>
  <c r="D37" i="15"/>
  <c r="D33" i="15"/>
  <c r="D30" i="15"/>
  <c r="D29" i="15"/>
  <c r="D27" i="15"/>
  <c r="D25" i="15"/>
  <c r="D20" i="15"/>
  <c r="D19" i="15"/>
  <c r="D16" i="15"/>
  <c r="D14" i="15"/>
  <c r="D11" i="15"/>
  <c r="D5" i="15"/>
  <c r="D3" i="15"/>
  <c r="D2" i="15"/>
  <c r="P2" i="15" s="1"/>
  <c r="D45" i="14"/>
  <c r="P45" i="14" s="1"/>
  <c r="AI45" i="14" s="1"/>
  <c r="D44" i="14"/>
  <c r="P44" i="14" s="1"/>
  <c r="D43" i="14"/>
  <c r="P43" i="14" s="1"/>
  <c r="D42" i="14"/>
  <c r="P42" i="14" s="1"/>
  <c r="D41" i="14"/>
  <c r="P41" i="14" s="1"/>
  <c r="AI41" i="14" s="1"/>
  <c r="D39" i="14"/>
  <c r="D37" i="14"/>
  <c r="D35" i="14"/>
  <c r="D33" i="14"/>
  <c r="D30" i="14"/>
  <c r="D25" i="14"/>
  <c r="D21" i="14"/>
  <c r="D17" i="14"/>
  <c r="D12" i="14"/>
  <c r="D9" i="14"/>
  <c r="D2" i="14"/>
  <c r="P2" i="14" s="1"/>
  <c r="AI2" i="14" s="1"/>
  <c r="D4" i="14"/>
  <c r="AG41" i="14" l="1"/>
  <c r="H109" i="14"/>
  <c r="H128" i="14"/>
  <c r="P5" i="17"/>
  <c r="AI5" i="17" s="1"/>
  <c r="B59" i="17"/>
  <c r="AD19" i="17"/>
  <c r="Z19" i="17"/>
  <c r="V19" i="17"/>
  <c r="R19" i="17"/>
  <c r="P19" i="17"/>
  <c r="AI19" i="17" s="1"/>
  <c r="Z7" i="17"/>
  <c r="AD9" i="17"/>
  <c r="P7" i="17"/>
  <c r="AI7" i="17" s="1"/>
  <c r="R9" i="17"/>
  <c r="R8" i="17"/>
  <c r="AD8" i="17"/>
  <c r="Z38" i="17"/>
  <c r="V38" i="17"/>
  <c r="P38" i="17"/>
  <c r="AD38" i="17"/>
  <c r="P24" i="17"/>
  <c r="AI24" i="17" s="1"/>
  <c r="Z24" i="17"/>
  <c r="AD24" i="17"/>
  <c r="R24" i="17"/>
  <c r="V24" i="17"/>
  <c r="Z34" i="17"/>
  <c r="AD34" i="17"/>
  <c r="V34" i="17"/>
  <c r="R34" i="17"/>
  <c r="P34" i="17"/>
  <c r="AI34" i="17" s="1"/>
  <c r="AD28" i="17"/>
  <c r="R28" i="17"/>
  <c r="P28" i="17"/>
  <c r="AI28" i="17" s="1"/>
  <c r="V28" i="17"/>
  <c r="Z29" i="17"/>
  <c r="P31" i="17"/>
  <c r="AI31" i="17" s="1"/>
  <c r="R31" i="17"/>
  <c r="Z31" i="17"/>
  <c r="V31" i="17"/>
  <c r="AD31" i="17"/>
  <c r="AI43" i="14"/>
  <c r="AG42" i="14"/>
  <c r="AI44" i="14"/>
  <c r="AG43" i="14"/>
  <c r="E47" i="14"/>
  <c r="C57" i="17"/>
  <c r="C58" i="17" s="1"/>
  <c r="B57" i="17"/>
  <c r="B58" i="17" s="1"/>
  <c r="P30" i="15"/>
  <c r="Q32" i="15"/>
  <c r="Q31" i="15"/>
  <c r="AB31" i="15" s="1"/>
  <c r="P14" i="15"/>
  <c r="Q15" i="15"/>
  <c r="P16" i="15"/>
  <c r="Q17" i="15"/>
  <c r="AF17" i="15" s="1"/>
  <c r="Q18" i="15"/>
  <c r="AB18" i="15" s="1"/>
  <c r="P37" i="15"/>
  <c r="P39" i="15"/>
  <c r="Q40" i="15"/>
  <c r="P11" i="15"/>
  <c r="Q12" i="15"/>
  <c r="Q13" i="15"/>
  <c r="P38" i="15"/>
  <c r="P41" i="15"/>
  <c r="Q43" i="15"/>
  <c r="Q42" i="15"/>
  <c r="P20" i="15"/>
  <c r="Q21" i="15"/>
  <c r="Q24" i="15"/>
  <c r="Q23" i="15"/>
  <c r="Q22" i="15"/>
  <c r="P44" i="15"/>
  <c r="Q45" i="15"/>
  <c r="AB45" i="15" s="1"/>
  <c r="Q46" i="15"/>
  <c r="X46" i="15" s="1"/>
  <c r="P33" i="15"/>
  <c r="Q35" i="15"/>
  <c r="Q34" i="15"/>
  <c r="Q36" i="15"/>
  <c r="P19" i="15"/>
  <c r="P25" i="15"/>
  <c r="Q26" i="15"/>
  <c r="P3" i="15"/>
  <c r="Q4" i="15"/>
  <c r="AF4" i="15"/>
  <c r="P27" i="15"/>
  <c r="Q28" i="15"/>
  <c r="AB28" i="15" s="1"/>
  <c r="P5" i="15"/>
  <c r="Q8" i="15"/>
  <c r="Q7" i="15"/>
  <c r="Q9" i="15"/>
  <c r="Q6" i="15"/>
  <c r="Q10" i="15"/>
  <c r="P29" i="15"/>
  <c r="AB49" i="15"/>
  <c r="AI42" i="14"/>
  <c r="Y41" i="14"/>
  <c r="AC41" i="14"/>
  <c r="Q36" i="14"/>
  <c r="AF10" i="14"/>
  <c r="AF11" i="14"/>
  <c r="P30" i="14"/>
  <c r="AI30" i="14" s="1"/>
  <c r="Q31" i="14"/>
  <c r="AG31" i="14" s="1"/>
  <c r="Q32" i="14"/>
  <c r="AG32" i="14" s="1"/>
  <c r="Q11" i="14"/>
  <c r="Q10" i="14"/>
  <c r="X11" i="14"/>
  <c r="X10" i="14"/>
  <c r="P35" i="14"/>
  <c r="AI35" i="14" s="1"/>
  <c r="P37" i="14"/>
  <c r="AI37" i="14" s="1"/>
  <c r="Q38" i="14"/>
  <c r="P39" i="14"/>
  <c r="Q40" i="14"/>
  <c r="P12" i="14"/>
  <c r="AI12" i="14" s="1"/>
  <c r="Q13" i="14"/>
  <c r="Q16" i="14"/>
  <c r="Q15" i="14"/>
  <c r="AG15" i="14" s="1"/>
  <c r="Q14" i="14"/>
  <c r="AG14" i="14" s="1"/>
  <c r="Q20" i="14"/>
  <c r="AG20" i="14" s="1"/>
  <c r="Q18" i="14"/>
  <c r="Q19" i="14"/>
  <c r="AG19" i="14" s="1"/>
  <c r="Q6" i="14"/>
  <c r="AG6" i="14" s="1"/>
  <c r="Q5" i="14"/>
  <c r="Q7" i="14"/>
  <c r="AG7" i="14" s="1"/>
  <c r="Q8" i="14"/>
  <c r="Q24" i="14"/>
  <c r="Q23" i="14"/>
  <c r="AG23" i="14" s="1"/>
  <c r="Q22" i="14"/>
  <c r="AG22" i="14" s="1"/>
  <c r="P25" i="14"/>
  <c r="AI25" i="14" s="1"/>
  <c r="Q27" i="14"/>
  <c r="AG27" i="14" s="1"/>
  <c r="Q26" i="14"/>
  <c r="Q29" i="14"/>
  <c r="AG29" i="14" s="1"/>
  <c r="Q28" i="14"/>
  <c r="AG28" i="14" s="1"/>
  <c r="P33" i="14"/>
  <c r="AI33" i="14" s="1"/>
  <c r="Q34" i="14"/>
  <c r="AG34" i="14" s="1"/>
  <c r="P9" i="14"/>
  <c r="AI9" i="14" s="1"/>
  <c r="P4" i="14"/>
  <c r="P17" i="14"/>
  <c r="AI17" i="14" s="1"/>
  <c r="P21" i="14"/>
  <c r="AI21" i="14" s="1"/>
  <c r="AG10" i="14" l="1"/>
  <c r="AG38" i="14"/>
  <c r="AG40" i="14"/>
  <c r="H81" i="14"/>
  <c r="AI39" i="14"/>
  <c r="H63" i="14"/>
  <c r="H64" i="14" s="1"/>
  <c r="E65" i="14" s="1"/>
  <c r="B64" i="14" s="1"/>
  <c r="H80" i="14"/>
  <c r="H62" i="14"/>
  <c r="H108" i="14"/>
  <c r="H110" i="14" s="1"/>
  <c r="E111" i="14" s="1"/>
  <c r="B110" i="14" s="1"/>
  <c r="H127" i="14"/>
  <c r="H129" i="14" s="1"/>
  <c r="E130" i="14" s="1"/>
  <c r="B129" i="14" s="1"/>
  <c r="AI38" i="17"/>
  <c r="AG18" i="14"/>
  <c r="AG3" i="14"/>
  <c r="AC3" i="14"/>
  <c r="AG24" i="14"/>
  <c r="AG11" i="14"/>
  <c r="AG8" i="14"/>
  <c r="AG16" i="14"/>
  <c r="AG26" i="14"/>
  <c r="AG5" i="14"/>
  <c r="AG13" i="14"/>
  <c r="AG36" i="14"/>
  <c r="D58" i="17"/>
  <c r="B52" i="17" s="1"/>
  <c r="Q46" i="17" s="1"/>
  <c r="AJ46" i="17" s="1"/>
  <c r="AB22" i="15"/>
  <c r="U22" i="15"/>
  <c r="AB23" i="15"/>
  <c r="U23" i="15"/>
  <c r="U24" i="15"/>
  <c r="AB15" i="15"/>
  <c r="U15" i="15"/>
  <c r="AB10" i="15"/>
  <c r="U10" i="15"/>
  <c r="U35" i="15"/>
  <c r="AB21" i="15"/>
  <c r="AB19" i="15" s="1"/>
  <c r="U21" i="15"/>
  <c r="AB34" i="15"/>
  <c r="U34" i="15"/>
  <c r="AB4" i="15"/>
  <c r="AB5" i="15" s="1"/>
  <c r="U4" i="15"/>
  <c r="U19" i="15"/>
  <c r="U40" i="15"/>
  <c r="AB8" i="15"/>
  <c r="AB9" i="15" s="1"/>
  <c r="U8" i="15"/>
  <c r="U20" i="15"/>
  <c r="U39" i="15"/>
  <c r="AB36" i="15"/>
  <c r="U36" i="15"/>
  <c r="U13" i="15"/>
  <c r="AB12" i="15"/>
  <c r="AB13" i="15" s="1"/>
  <c r="U12" i="15"/>
  <c r="AB6" i="15"/>
  <c r="U6" i="15"/>
  <c r="U9" i="15"/>
  <c r="AB42" i="15"/>
  <c r="AB44" i="15" s="1"/>
  <c r="U42" i="15"/>
  <c r="AB32" i="15"/>
  <c r="U32" i="15"/>
  <c r="U7" i="15"/>
  <c r="AB26" i="15"/>
  <c r="U26" i="15"/>
  <c r="U43" i="15"/>
  <c r="AB14" i="15"/>
  <c r="AB47" i="15"/>
  <c r="AB46" i="15"/>
  <c r="T40" i="15"/>
  <c r="AF40" i="15"/>
  <c r="X40" i="15"/>
  <c r="X7" i="15"/>
  <c r="X9" i="15"/>
  <c r="AF9" i="15"/>
  <c r="T9" i="15"/>
  <c r="X43" i="15"/>
  <c r="T43" i="15"/>
  <c r="AF43" i="15"/>
  <c r="AB33" i="15"/>
  <c r="AF35" i="15"/>
  <c r="T35" i="15"/>
  <c r="X35" i="15"/>
  <c r="AB29" i="15"/>
  <c r="AB30" i="15"/>
  <c r="X24" i="15"/>
  <c r="T24" i="15"/>
  <c r="AF24" i="15"/>
  <c r="AF18" i="15" s="1"/>
  <c r="AF13" i="15"/>
  <c r="T13" i="15"/>
  <c r="X13" i="15"/>
  <c r="AB20" i="15"/>
  <c r="Y29" i="14"/>
  <c r="AC29" i="14"/>
  <c r="U29" i="14"/>
  <c r="U19" i="14"/>
  <c r="Y19" i="14"/>
  <c r="AC19" i="14"/>
  <c r="U11" i="14"/>
  <c r="Y11" i="14"/>
  <c r="AC11" i="14"/>
  <c r="AC22" i="14"/>
  <c r="U22" i="14"/>
  <c r="Y22" i="14"/>
  <c r="AJ34" i="14"/>
  <c r="U34" i="14"/>
  <c r="Y34" i="14"/>
  <c r="AC34" i="14"/>
  <c r="AC23" i="14"/>
  <c r="Y23" i="14"/>
  <c r="U23" i="14"/>
  <c r="Y20" i="14"/>
  <c r="AC20" i="14"/>
  <c r="U20" i="14"/>
  <c r="AC38" i="14"/>
  <c r="U38" i="14"/>
  <c r="Y38" i="14"/>
  <c r="AC31" i="14"/>
  <c r="U31" i="14"/>
  <c r="Y31" i="14"/>
  <c r="AC7" i="14"/>
  <c r="Y7" i="14"/>
  <c r="U7" i="14"/>
  <c r="AJ40" i="14"/>
  <c r="AC40" i="14"/>
  <c r="Y40" i="14"/>
  <c r="AC32" i="14"/>
  <c r="U32" i="14"/>
  <c r="Y32" i="14"/>
  <c r="AC24" i="14"/>
  <c r="U24" i="14"/>
  <c r="Y24" i="14"/>
  <c r="AC14" i="14"/>
  <c r="U14" i="14"/>
  <c r="Y14" i="14"/>
  <c r="Y3" i="14"/>
  <c r="AI4" i="14"/>
  <c r="AC18" i="14"/>
  <c r="U18" i="14"/>
  <c r="Y18" i="14"/>
  <c r="Y28" i="14"/>
  <c r="AC28" i="14"/>
  <c r="U28" i="14"/>
  <c r="AC8" i="14"/>
  <c r="U8" i="14"/>
  <c r="Y8" i="14"/>
  <c r="AC15" i="14"/>
  <c r="U15" i="14"/>
  <c r="Y15" i="14"/>
  <c r="AC16" i="14"/>
  <c r="U16" i="14"/>
  <c r="Y16" i="14"/>
  <c r="U26" i="14"/>
  <c r="Y26" i="14"/>
  <c r="AC26" i="14"/>
  <c r="Y5" i="14"/>
  <c r="AC5" i="14"/>
  <c r="X5" i="14"/>
  <c r="U5" i="14"/>
  <c r="Y13" i="14"/>
  <c r="U13" i="14"/>
  <c r="AC13" i="14"/>
  <c r="AJ36" i="14"/>
  <c r="Y36" i="14"/>
  <c r="AC36" i="14"/>
  <c r="U36" i="14"/>
  <c r="U27" i="14"/>
  <c r="Y27" i="14"/>
  <c r="AC27" i="14"/>
  <c r="AJ6" i="14"/>
  <c r="AC6" i="14"/>
  <c r="U6" i="14"/>
  <c r="Y6" i="14"/>
  <c r="U10" i="14"/>
  <c r="Y10" i="14"/>
  <c r="AC10" i="14"/>
  <c r="AB36" i="14"/>
  <c r="AB19" i="14"/>
  <c r="AJ19" i="14"/>
  <c r="AB10" i="14"/>
  <c r="AJ10" i="14"/>
  <c r="AF22" i="14"/>
  <c r="AJ22" i="14"/>
  <c r="AF18" i="14"/>
  <c r="AJ18" i="14"/>
  <c r="AB11" i="14"/>
  <c r="AJ11" i="14"/>
  <c r="AB20" i="14"/>
  <c r="AJ20" i="14"/>
  <c r="AB27" i="14"/>
  <c r="AJ27" i="14"/>
  <c r="AB23" i="14"/>
  <c r="AJ23" i="14"/>
  <c r="AF14" i="14"/>
  <c r="AJ14" i="14"/>
  <c r="AB8" i="14"/>
  <c r="AB9" i="14" s="1"/>
  <c r="AJ8" i="14"/>
  <c r="AB32" i="14"/>
  <c r="AJ32" i="14"/>
  <c r="AB24" i="14"/>
  <c r="AJ24" i="14"/>
  <c r="AB31" i="14"/>
  <c r="AJ31" i="14"/>
  <c r="AB15" i="14"/>
  <c r="AJ15" i="14"/>
  <c r="AB29" i="14"/>
  <c r="AJ29" i="14"/>
  <c r="AB7" i="14"/>
  <c r="AJ7" i="14"/>
  <c r="AB16" i="14"/>
  <c r="AB18" i="14" s="1"/>
  <c r="AJ16" i="14"/>
  <c r="AB38" i="14"/>
  <c r="AJ38" i="14"/>
  <c r="AF28" i="14"/>
  <c r="AJ28" i="14"/>
  <c r="AB26" i="14"/>
  <c r="AJ26" i="14"/>
  <c r="AJ5" i="14"/>
  <c r="T13" i="14"/>
  <c r="AJ13" i="14"/>
  <c r="AB40" i="14"/>
  <c r="AF40" i="14"/>
  <c r="AB5" i="14"/>
  <c r="AF5" i="14"/>
  <c r="X6" i="14"/>
  <c r="X8" i="14" s="1"/>
  <c r="AF6" i="14"/>
  <c r="X34" i="14"/>
  <c r="AF34" i="14"/>
  <c r="T6" i="14"/>
  <c r="T22" i="14"/>
  <c r="X22" i="14"/>
  <c r="T18" i="14"/>
  <c r="X18" i="14"/>
  <c r="T14" i="14"/>
  <c r="X14" i="14"/>
  <c r="T28" i="14"/>
  <c r="T30" i="14" s="1"/>
  <c r="T33" i="14" s="1"/>
  <c r="X28" i="14"/>
  <c r="Q38" i="17" l="1"/>
  <c r="H82" i="14"/>
  <c r="E83" i="14" s="1"/>
  <c r="B82" i="14" s="1"/>
  <c r="Q47" i="17"/>
  <c r="AJ47" i="17" s="1"/>
  <c r="Q45" i="17"/>
  <c r="AJ45" i="17" s="1"/>
  <c r="Q3" i="17"/>
  <c r="AJ3" i="17" s="1"/>
  <c r="Q2" i="17"/>
  <c r="AJ2" i="17" s="1"/>
  <c r="Q19" i="17"/>
  <c r="Q48" i="17"/>
  <c r="AJ48" i="17" s="1"/>
  <c r="B50" i="17"/>
  <c r="Q42" i="17"/>
  <c r="AJ42" i="17" s="1"/>
  <c r="AC38" i="17"/>
  <c r="AF38" i="17"/>
  <c r="AG38" i="17"/>
  <c r="AB38" i="17"/>
  <c r="AJ38" i="17"/>
  <c r="Y38" i="17"/>
  <c r="X38" i="17"/>
  <c r="Q34" i="17"/>
  <c r="Q28" i="17"/>
  <c r="Q7" i="17"/>
  <c r="Q5" i="17"/>
  <c r="Q31" i="17"/>
  <c r="Q44" i="17"/>
  <c r="AJ44" i="17" s="1"/>
  <c r="Q4" i="17"/>
  <c r="AJ4" i="17" s="1"/>
  <c r="Q24" i="17"/>
  <c r="Q43" i="17"/>
  <c r="AJ43" i="17" s="1"/>
  <c r="E128" i="14"/>
  <c r="E129" i="14" s="1"/>
  <c r="AB41" i="15"/>
  <c r="AB35" i="15"/>
  <c r="T8" i="15"/>
  <c r="AB43" i="15"/>
  <c r="AF23" i="15"/>
  <c r="T32" i="15"/>
  <c r="AB39" i="15"/>
  <c r="AF19" i="15"/>
  <c r="AB40" i="15"/>
  <c r="AB37" i="15"/>
  <c r="AB38" i="15"/>
  <c r="AB24" i="15"/>
  <c r="T15" i="15"/>
  <c r="AB25" i="15"/>
  <c r="AB16" i="15"/>
  <c r="AB17" i="15"/>
  <c r="E139" i="15"/>
  <c r="E82" i="15"/>
  <c r="E83" i="15" s="1"/>
  <c r="X31" i="15"/>
  <c r="X29" i="15"/>
  <c r="X30" i="15"/>
  <c r="X16" i="15"/>
  <c r="X15" i="15"/>
  <c r="E107" i="15"/>
  <c r="E108" i="15" s="1"/>
  <c r="AB7" i="15"/>
  <c r="AB11" i="15"/>
  <c r="AF28" i="15"/>
  <c r="T36" i="15"/>
  <c r="T19" i="15"/>
  <c r="T23" i="15"/>
  <c r="T22" i="15"/>
  <c r="T14" i="15"/>
  <c r="T21" i="15"/>
  <c r="T20" i="15"/>
  <c r="AF34" i="15"/>
  <c r="AF26" i="15"/>
  <c r="AF29" i="15"/>
  <c r="AF33" i="15"/>
  <c r="AF25" i="15"/>
  <c r="AF32" i="15"/>
  <c r="AF31" i="15"/>
  <c r="AF30" i="15"/>
  <c r="X39" i="15"/>
  <c r="X36" i="15"/>
  <c r="X37" i="15"/>
  <c r="X42" i="15"/>
  <c r="X41" i="15"/>
  <c r="AF20" i="15"/>
  <c r="T26" i="15"/>
  <c r="T33" i="15"/>
  <c r="T34" i="15"/>
  <c r="T25" i="15"/>
  <c r="T12" i="15"/>
  <c r="T11" i="15"/>
  <c r="T10" i="15"/>
  <c r="AF42" i="15"/>
  <c r="AF41" i="15"/>
  <c r="AF21" i="15"/>
  <c r="X23" i="15"/>
  <c r="X22" i="15"/>
  <c r="X14" i="15"/>
  <c r="X21" i="15"/>
  <c r="X20" i="15"/>
  <c r="X19" i="15"/>
  <c r="X45" i="15"/>
  <c r="X44" i="15"/>
  <c r="T39" i="15"/>
  <c r="X32" i="15"/>
  <c r="X34" i="15"/>
  <c r="X26" i="15"/>
  <c r="X33" i="15"/>
  <c r="X25" i="15"/>
  <c r="AF38" i="15"/>
  <c r="AF37" i="15"/>
  <c r="AF36" i="15"/>
  <c r="AF39" i="15"/>
  <c r="AF10" i="15"/>
  <c r="AF11" i="15"/>
  <c r="AF12" i="15"/>
  <c r="AF8" i="15"/>
  <c r="AF7" i="15"/>
  <c r="AF6" i="15"/>
  <c r="T41" i="15"/>
  <c r="T42" i="15"/>
  <c r="AF22" i="15"/>
  <c r="AF15" i="15"/>
  <c r="AF14" i="15"/>
  <c r="AF16" i="15"/>
  <c r="X10" i="15"/>
  <c r="X12" i="15"/>
  <c r="X11" i="15"/>
  <c r="AF48" i="15"/>
  <c r="AF47" i="15"/>
  <c r="AF45" i="15"/>
  <c r="AF46" i="15"/>
  <c r="AF44" i="15"/>
  <c r="X8" i="15"/>
  <c r="E109" i="14"/>
  <c r="E110" i="14" s="1"/>
  <c r="E63" i="14"/>
  <c r="E64" i="14" s="1"/>
  <c r="E81" i="14"/>
  <c r="E82" i="14" s="1"/>
  <c r="AB33" i="14"/>
  <c r="AF19" i="14"/>
  <c r="AB37" i="14"/>
  <c r="AB14" i="14"/>
  <c r="AB35" i="14"/>
  <c r="AB22" i="14"/>
  <c r="AF17" i="14"/>
  <c r="AB12" i="14"/>
  <c r="X7" i="14"/>
  <c r="AB25" i="14"/>
  <c r="AF29" i="14"/>
  <c r="AB13" i="14"/>
  <c r="AF13" i="14"/>
  <c r="AF15" i="14"/>
  <c r="AF21" i="14"/>
  <c r="AF16" i="14"/>
  <c r="AB30" i="14"/>
  <c r="AF31" i="14"/>
  <c r="AB17" i="14"/>
  <c r="AB21" i="14"/>
  <c r="AF24" i="14"/>
  <c r="AF32" i="14"/>
  <c r="AB28" i="14"/>
  <c r="AF27" i="14"/>
  <c r="AB34" i="14"/>
  <c r="AF23" i="14"/>
  <c r="AF25" i="14"/>
  <c r="AF26" i="14"/>
  <c r="AF20" i="14"/>
  <c r="AB39" i="14"/>
  <c r="AF39" i="14"/>
  <c r="AF38" i="14"/>
  <c r="AF37" i="14"/>
  <c r="AF35" i="14"/>
  <c r="AF36" i="14"/>
  <c r="AF8" i="14"/>
  <c r="AF7" i="14"/>
  <c r="AF30" i="14"/>
  <c r="AB6" i="14"/>
  <c r="AF33" i="14"/>
  <c r="T16" i="14"/>
  <c r="T17" i="14"/>
  <c r="T15" i="14"/>
  <c r="X21" i="14"/>
  <c r="X20" i="14"/>
  <c r="X19" i="14"/>
  <c r="T21" i="14"/>
  <c r="T20" i="14"/>
  <c r="T19" i="14"/>
  <c r="X27" i="14"/>
  <c r="X26" i="14"/>
  <c r="X24" i="14"/>
  <c r="X25" i="14"/>
  <c r="X23" i="14"/>
  <c r="T25" i="14"/>
  <c r="T24" i="14"/>
  <c r="T23" i="14"/>
  <c r="T27" i="14"/>
  <c r="T26" i="14"/>
  <c r="X33" i="14"/>
  <c r="X32" i="14"/>
  <c r="X31" i="14"/>
  <c r="X30" i="14"/>
  <c r="X29" i="14"/>
  <c r="T4" i="14"/>
  <c r="T5" i="14" s="1"/>
  <c r="T12" i="14"/>
  <c r="T11" i="14"/>
  <c r="T10" i="14"/>
  <c r="T9" i="14"/>
  <c r="T8" i="14"/>
  <c r="T7" i="14"/>
  <c r="X17" i="14"/>
  <c r="X16" i="14"/>
  <c r="X15" i="14"/>
  <c r="T35" i="14"/>
  <c r="T37" i="14" s="1"/>
  <c r="T39" i="14" s="1"/>
  <c r="X13" i="14"/>
  <c r="Q39" i="17" l="1"/>
  <c r="H125" i="17" s="1"/>
  <c r="Q40" i="17"/>
  <c r="AC31" i="17"/>
  <c r="AF31" i="17"/>
  <c r="T31" i="17"/>
  <c r="Q33" i="17"/>
  <c r="AB31" i="17"/>
  <c r="X31" i="17"/>
  <c r="Y31" i="17"/>
  <c r="AJ31" i="17"/>
  <c r="Q32" i="17"/>
  <c r="AG31" i="17"/>
  <c r="U31" i="17"/>
  <c r="Q6" i="17"/>
  <c r="AJ5" i="17"/>
  <c r="Q17" i="17"/>
  <c r="Q9" i="17"/>
  <c r="Q16" i="17"/>
  <c r="Q8" i="17"/>
  <c r="AC7" i="17"/>
  <c r="AF7" i="17"/>
  <c r="T7" i="17"/>
  <c r="Q15" i="17"/>
  <c r="AG7" i="17"/>
  <c r="Q12" i="17"/>
  <c r="Q11" i="17"/>
  <c r="AJ7" i="17"/>
  <c r="Q14" i="17"/>
  <c r="Q13" i="17"/>
  <c r="Y7" i="17"/>
  <c r="AB7" i="17"/>
  <c r="U7" i="17"/>
  <c r="Q18" i="17"/>
  <c r="Q10" i="17"/>
  <c r="AG19" i="17"/>
  <c r="Q21" i="17"/>
  <c r="AB19" i="17"/>
  <c r="Q20" i="17"/>
  <c r="U19" i="17"/>
  <c r="X19" i="17"/>
  <c r="AF19" i="17"/>
  <c r="AJ19" i="17"/>
  <c r="T19" i="17"/>
  <c r="AC19" i="17"/>
  <c r="Q23" i="17"/>
  <c r="Q22" i="17"/>
  <c r="Y19" i="17"/>
  <c r="Q41" i="17"/>
  <c r="H146" i="17" s="1"/>
  <c r="U28" i="17"/>
  <c r="AB28" i="17"/>
  <c r="X28" i="17"/>
  <c r="AJ28" i="17"/>
  <c r="Q30" i="17"/>
  <c r="AF28" i="17"/>
  <c r="Q29" i="17"/>
  <c r="AC28" i="17"/>
  <c r="T28" i="17"/>
  <c r="Y28" i="17"/>
  <c r="AG28" i="17"/>
  <c r="Y34" i="17"/>
  <c r="Q37" i="17"/>
  <c r="AG34" i="17"/>
  <c r="U34" i="17"/>
  <c r="AB34" i="17"/>
  <c r="Q36" i="17"/>
  <c r="X34" i="17"/>
  <c r="Q35" i="17"/>
  <c r="AC34" i="17"/>
  <c r="AJ34" i="17"/>
  <c r="AF34" i="17"/>
  <c r="T34" i="17"/>
  <c r="AC24" i="17"/>
  <c r="Q25" i="17"/>
  <c r="AF24" i="17"/>
  <c r="T24" i="17"/>
  <c r="AJ24" i="17"/>
  <c r="Y24" i="17"/>
  <c r="X24" i="17"/>
  <c r="AG24" i="17"/>
  <c r="AB24" i="17"/>
  <c r="U24" i="17"/>
  <c r="Q27" i="17"/>
  <c r="Q26" i="17"/>
  <c r="T34" i="14"/>
  <c r="AF39" i="17" l="1"/>
  <c r="H145" i="17"/>
  <c r="H147" i="17" s="1"/>
  <c r="E148" i="17" s="1"/>
  <c r="B147" i="17" s="1"/>
  <c r="H97" i="17"/>
  <c r="H124" i="17"/>
  <c r="H126" i="17" s="1"/>
  <c r="E127" i="17" s="1"/>
  <c r="B126" i="17" s="1"/>
  <c r="H78" i="17"/>
  <c r="AG39" i="17"/>
  <c r="X39" i="17"/>
  <c r="AB39" i="17"/>
  <c r="H98" i="17"/>
  <c r="H79" i="17"/>
  <c r="AJ39" i="17"/>
  <c r="Y18" i="17"/>
  <c r="AG18" i="17"/>
  <c r="U18" i="17"/>
  <c r="AB18" i="17"/>
  <c r="X18" i="17"/>
  <c r="AJ18" i="17"/>
  <c r="AC18" i="17"/>
  <c r="AF18" i="17"/>
  <c r="T18" i="17"/>
  <c r="U12" i="17"/>
  <c r="X12" i="17"/>
  <c r="AJ12" i="17"/>
  <c r="AF12" i="17"/>
  <c r="T12" i="17"/>
  <c r="AB12" i="17"/>
  <c r="AC12" i="17"/>
  <c r="Y12" i="17"/>
  <c r="AG12" i="17"/>
  <c r="AF9" i="17"/>
  <c r="T9" i="17"/>
  <c r="Y9" i="17"/>
  <c r="AG9" i="17"/>
  <c r="AB9" i="17"/>
  <c r="U9" i="17"/>
  <c r="X9" i="17"/>
  <c r="AC9" i="17"/>
  <c r="AJ9" i="17"/>
  <c r="AF17" i="17"/>
  <c r="T17" i="17"/>
  <c r="Y17" i="17"/>
  <c r="AG17" i="17"/>
  <c r="U17" i="17"/>
  <c r="AB17" i="17"/>
  <c r="X17" i="17"/>
  <c r="AC17" i="17"/>
  <c r="AJ17" i="17"/>
  <c r="AC15" i="17"/>
  <c r="AF15" i="17"/>
  <c r="T15" i="17"/>
  <c r="Y15" i="17"/>
  <c r="AJ15" i="17"/>
  <c r="AB15" i="17"/>
  <c r="AG15" i="17"/>
  <c r="U15" i="17"/>
  <c r="X15" i="17"/>
  <c r="AG35" i="17"/>
  <c r="AB35" i="17"/>
  <c r="U35" i="17"/>
  <c r="X35" i="17"/>
  <c r="AJ35" i="17"/>
  <c r="T35" i="17"/>
  <c r="AC35" i="17"/>
  <c r="AF35" i="17"/>
  <c r="Y35" i="17"/>
  <c r="AC22" i="17"/>
  <c r="AJ22" i="17"/>
  <c r="AF22" i="17"/>
  <c r="T22" i="17"/>
  <c r="Y22" i="17"/>
  <c r="AG22" i="17"/>
  <c r="U22" i="17"/>
  <c r="AB22" i="17"/>
  <c r="X22" i="17"/>
  <c r="U20" i="17"/>
  <c r="AB20" i="17"/>
  <c r="X20" i="17"/>
  <c r="AJ20" i="17"/>
  <c r="Y20" i="17"/>
  <c r="T20" i="17"/>
  <c r="AC20" i="17"/>
  <c r="AF20" i="17"/>
  <c r="AG20" i="17"/>
  <c r="Y6" i="17"/>
  <c r="AJ6" i="17"/>
  <c r="AB6" i="17"/>
  <c r="AC6" i="17"/>
  <c r="AF33" i="17"/>
  <c r="T33" i="17"/>
  <c r="Y33" i="17"/>
  <c r="AG33" i="17"/>
  <c r="U33" i="17"/>
  <c r="AB33" i="17"/>
  <c r="X33" i="17"/>
  <c r="AC33" i="17"/>
  <c r="H80" i="17"/>
  <c r="E81" i="17" s="1"/>
  <c r="B80" i="17" s="1"/>
  <c r="AJ33" i="17"/>
  <c r="Y26" i="17"/>
  <c r="AG26" i="17"/>
  <c r="U26" i="17"/>
  <c r="AB26" i="17"/>
  <c r="AC26" i="17"/>
  <c r="X26" i="17"/>
  <c r="AJ26" i="17"/>
  <c r="T26" i="17"/>
  <c r="AF26" i="17"/>
  <c r="AG27" i="17"/>
  <c r="AB27" i="17"/>
  <c r="U27" i="17"/>
  <c r="X27" i="17"/>
  <c r="AJ27" i="17"/>
  <c r="AC27" i="17"/>
  <c r="T27" i="17"/>
  <c r="AF27" i="17"/>
  <c r="Y27" i="17"/>
  <c r="X13" i="17"/>
  <c r="AG13" i="17"/>
  <c r="AC13" i="17"/>
  <c r="AF13" i="17"/>
  <c r="T13" i="17"/>
  <c r="Y13" i="17"/>
  <c r="AB13" i="17"/>
  <c r="U13" i="17"/>
  <c r="AJ13" i="17"/>
  <c r="AF25" i="17"/>
  <c r="T25" i="17"/>
  <c r="Y25" i="17"/>
  <c r="AG25" i="17"/>
  <c r="U25" i="17"/>
  <c r="AB25" i="17"/>
  <c r="X25" i="17"/>
  <c r="AJ25" i="17"/>
  <c r="AC25" i="17"/>
  <c r="AC23" i="17"/>
  <c r="AF23" i="17"/>
  <c r="T23" i="17"/>
  <c r="Y23" i="17"/>
  <c r="AJ23" i="17"/>
  <c r="AG23" i="17"/>
  <c r="AB23" i="17"/>
  <c r="X23" i="17"/>
  <c r="U23" i="17"/>
  <c r="X29" i="17"/>
  <c r="AC29" i="17"/>
  <c r="AF29" i="17"/>
  <c r="T29" i="17"/>
  <c r="Y29" i="17"/>
  <c r="AG29" i="17"/>
  <c r="AB29" i="17"/>
  <c r="AJ29" i="17"/>
  <c r="U29" i="17"/>
  <c r="X21" i="17"/>
  <c r="AC21" i="17"/>
  <c r="T21" i="17"/>
  <c r="Y21" i="17"/>
  <c r="AG21" i="17"/>
  <c r="AF21" i="17"/>
  <c r="AJ21" i="17"/>
  <c r="AB21" i="17"/>
  <c r="U21" i="17"/>
  <c r="AC14" i="17"/>
  <c r="AF14" i="17"/>
  <c r="T14" i="17"/>
  <c r="AG14" i="17"/>
  <c r="AJ14" i="17"/>
  <c r="Y14" i="17"/>
  <c r="U14" i="17"/>
  <c r="AB14" i="17"/>
  <c r="X14" i="17"/>
  <c r="AC8" i="17"/>
  <c r="AF8" i="17"/>
  <c r="T8" i="17"/>
  <c r="AJ8" i="17"/>
  <c r="AG8" i="17"/>
  <c r="AB8" i="17"/>
  <c r="U8" i="17"/>
  <c r="Y8" i="17"/>
  <c r="X8" i="17"/>
  <c r="AC32" i="17"/>
  <c r="T32" i="17"/>
  <c r="AJ32" i="17"/>
  <c r="Y32" i="17"/>
  <c r="AG32" i="17"/>
  <c r="U32" i="17"/>
  <c r="AB32" i="17"/>
  <c r="X32" i="17"/>
  <c r="AF32" i="17"/>
  <c r="AF41" i="17"/>
  <c r="AG41" i="17"/>
  <c r="AJ41" i="17"/>
  <c r="U36" i="17"/>
  <c r="AB36" i="17"/>
  <c r="X36" i="17"/>
  <c r="AJ36" i="17"/>
  <c r="Y36" i="17"/>
  <c r="AC36" i="17"/>
  <c r="AF36" i="17"/>
  <c r="AG36" i="17"/>
  <c r="X37" i="17"/>
  <c r="AG37" i="17"/>
  <c r="AC37" i="17"/>
  <c r="AF37" i="17"/>
  <c r="Y37" i="17"/>
  <c r="U37" i="17"/>
  <c r="AB37" i="17"/>
  <c r="AJ37" i="17"/>
  <c r="AC30" i="17"/>
  <c r="AB30" i="17"/>
  <c r="AF30" i="17"/>
  <c r="T30" i="17"/>
  <c r="AJ30" i="17"/>
  <c r="Y30" i="17"/>
  <c r="U30" i="17"/>
  <c r="AG30" i="17"/>
  <c r="X30" i="17"/>
  <c r="Y10" i="17"/>
  <c r="AB10" i="17"/>
  <c r="AJ10" i="17"/>
  <c r="AG10" i="17"/>
  <c r="U10" i="17"/>
  <c r="X10" i="17"/>
  <c r="AC10" i="17"/>
  <c r="T10" i="17"/>
  <c r="AF10" i="17"/>
  <c r="AG11" i="17"/>
  <c r="AB11" i="17"/>
  <c r="T11" i="17"/>
  <c r="U11" i="17"/>
  <c r="X11" i="17"/>
  <c r="AJ11" i="17"/>
  <c r="AC11" i="17"/>
  <c r="AF11" i="17"/>
  <c r="Y11" i="17"/>
  <c r="AC16" i="17"/>
  <c r="AF16" i="17"/>
  <c r="T16" i="17"/>
  <c r="AJ16" i="17"/>
  <c r="Y16" i="17"/>
  <c r="AG16" i="17"/>
  <c r="X16" i="17"/>
  <c r="U16" i="17"/>
  <c r="AB16" i="17"/>
  <c r="AJ40" i="17"/>
  <c r="AF40" i="17"/>
  <c r="AG40" i="17"/>
  <c r="AB40" i="17"/>
  <c r="H99" i="17" l="1"/>
  <c r="E100" i="17" s="1"/>
  <c r="B99" i="17" s="1"/>
  <c r="E79" i="17"/>
  <c r="E80" i="17" s="1"/>
  <c r="E146" i="17"/>
  <c r="E147" i="17" s="1"/>
  <c r="E125" i="17"/>
  <c r="E126" i="17" s="1"/>
  <c r="E98" i="17"/>
  <c r="E99" i="17" s="1"/>
</calcChain>
</file>

<file path=xl/sharedStrings.xml><?xml version="1.0" encoding="utf-8"?>
<sst xmlns="http://schemas.openxmlformats.org/spreadsheetml/2006/main" count="1598" uniqueCount="182">
  <si>
    <t>.</t>
  </si>
  <si>
    <t>Distance</t>
  </si>
  <si>
    <t>Height</t>
  </si>
  <si>
    <t>Comments</t>
  </si>
  <si>
    <t>(Continued)</t>
  </si>
  <si>
    <t>Fines</t>
  </si>
  <si>
    <t>Depth</t>
  </si>
  <si>
    <t>Flow</t>
  </si>
  <si>
    <t>Feet</t>
  </si>
  <si>
    <t>Inches</t>
  </si>
  <si>
    <t>On bank</t>
  </si>
  <si>
    <t>Edge of bank</t>
  </si>
  <si>
    <t>Edge of water</t>
  </si>
  <si>
    <t>Distance
in FEET</t>
  </si>
  <si>
    <t>Gate Opening:</t>
  </si>
  <si>
    <t>Gate Closed</t>
  </si>
  <si>
    <t>Gate Open 3/4 Inch</t>
  </si>
  <si>
    <t>End of Water</t>
  </si>
  <si>
    <t>Gate Open 1.5 Inches</t>
  </si>
  <si>
    <t>Off Bank - Start of range</t>
  </si>
  <si>
    <t>End of range</t>
  </si>
  <si>
    <t>End of range (Rock)</t>
  </si>
  <si>
    <t>End of range (Top of Rock)</t>
  </si>
  <si>
    <t>Edge of Rock - no Motion</t>
  </si>
  <si>
    <t>Gate Open 3 Inches</t>
  </si>
  <si>
    <t>Water flow goes
 to maybe 47'</t>
  </si>
  <si>
    <t>Water starts</t>
  </si>
  <si>
    <t>No water (rock?)</t>
  </si>
  <si>
    <t>Water ends</t>
  </si>
  <si>
    <t>Depth
in FEET</t>
  </si>
  <si>
    <t>Off bank</t>
  </si>
  <si>
    <t>Off rock</t>
  </si>
  <si>
    <t>End of range - rock section</t>
  </si>
  <si>
    <t>Section of rock</t>
  </si>
  <si>
    <t>Edge of rock</t>
  </si>
  <si>
    <t>Shallow flow over rock</t>
  </si>
  <si>
    <t>End of water</t>
  </si>
  <si>
    <t>Start of range</t>
  </si>
  <si>
    <t>Zero flow from here to 22' 10"</t>
  </si>
  <si>
    <t>Bank / water</t>
  </si>
  <si>
    <t>Rock starts - no water</t>
  </si>
  <si>
    <t>Rock ends</t>
  </si>
  <si>
    <t>End of range - Rock from 23' 6"</t>
  </si>
  <si>
    <t>rock?</t>
  </si>
  <si>
    <t>Start of range - Off bank</t>
  </si>
  <si>
    <t>Whole Ft</t>
  </si>
  <si>
    <t>Dec Ft</t>
  </si>
  <si>
    <t>Grav Sm</t>
  </si>
  <si>
    <t>Grav Md</t>
  </si>
  <si>
    <t>Grav Lg</t>
  </si>
  <si>
    <t>Cob Sm</t>
  </si>
  <si>
    <t>Cob Md</t>
  </si>
  <si>
    <t>Cob Lg</t>
  </si>
  <si>
    <t>Bould S</t>
  </si>
  <si>
    <t>Bould L</t>
  </si>
  <si>
    <t>Bench Elev</t>
  </si>
  <si>
    <t>Tot %</t>
  </si>
  <si>
    <t>Bench Site</t>
  </si>
  <si>
    <t>ft</t>
  </si>
  <si>
    <t>Site Elev</t>
  </si>
  <si>
    <t>Subs Elev</t>
  </si>
  <si>
    <t>Cros Ft</t>
  </si>
  <si>
    <t>M - On bank</t>
  </si>
  <si>
    <t>M - Edge of water</t>
  </si>
  <si>
    <t>1 Flow</t>
  </si>
  <si>
    <t>1 W Elev</t>
  </si>
  <si>
    <t>1 W Dpth</t>
  </si>
  <si>
    <t>M</t>
  </si>
  <si>
    <t>F1</t>
  </si>
  <si>
    <t>Main</t>
  </si>
  <si>
    <t>Index</t>
  </si>
  <si>
    <t>Int Form</t>
  </si>
  <si>
    <t>F2</t>
  </si>
  <si>
    <t>2 W Dpth</t>
  </si>
  <si>
    <t>2 Flow</t>
  </si>
  <si>
    <t>2 W Elev</t>
  </si>
  <si>
    <t>3 W Dpth</t>
  </si>
  <si>
    <t>3 Flow</t>
  </si>
  <si>
    <t>3 W Elev</t>
  </si>
  <si>
    <t>4 W Dpth</t>
  </si>
  <si>
    <t>4 Flow</t>
  </si>
  <si>
    <t>4 W Elev</t>
  </si>
  <si>
    <t>F1, F2</t>
  </si>
  <si>
    <t>F3</t>
  </si>
  <si>
    <t>F2, F3, F4</t>
  </si>
  <si>
    <t>F1, F2, F4</t>
  </si>
  <si>
    <t>M, F2, F4</t>
  </si>
  <si>
    <t>F2, F4</t>
  </si>
  <si>
    <t>F3, F4</t>
  </si>
  <si>
    <t>F1 Avg</t>
  </si>
  <si>
    <t>F2 Avg</t>
  </si>
  <si>
    <t>F3 Avg</t>
  </si>
  <si>
    <t>F4 Avg</t>
  </si>
  <si>
    <t>Cross Ft</t>
  </si>
  <si>
    <t>Area</t>
  </si>
  <si>
    <t>CFS</t>
  </si>
  <si>
    <t>Dist</t>
  </si>
  <si>
    <t>Tot Area:</t>
  </si>
  <si>
    <t>Avg Dpth</t>
  </si>
  <si>
    <t>Tot Flow</t>
  </si>
  <si>
    <t>cfs</t>
  </si>
  <si>
    <t>sq-ft</t>
  </si>
  <si>
    <t>Avg Flow</t>
  </si>
  <si>
    <t>f/s</t>
  </si>
  <si>
    <t>Flow 1 - Closed</t>
  </si>
  <si>
    <t>Flow 4 - 3" Open</t>
  </si>
  <si>
    <t>Flow 3 - 1.5" Open</t>
  </si>
  <si>
    <t>Flow 2 - 0.75" Open</t>
  </si>
  <si>
    <t xml:space="preserve">Off Bank </t>
  </si>
  <si>
    <t>Top of Rock</t>
  </si>
  <si>
    <t>Edge of Rock</t>
  </si>
  <si>
    <t>Level</t>
  </si>
  <si>
    <t>A Dif</t>
  </si>
  <si>
    <t>1 Flat A</t>
  </si>
  <si>
    <t>2 Flat A</t>
  </si>
  <si>
    <t>3 Flat A</t>
  </si>
  <si>
    <t>4 Flat A</t>
  </si>
  <si>
    <t>M - Bank</t>
  </si>
  <si>
    <t>M - Edge of large boulder</t>
  </si>
  <si>
    <t>M - Top of boulder</t>
  </si>
  <si>
    <t>M - Edge of boulder</t>
  </si>
  <si>
    <t>Start</t>
  </si>
  <si>
    <t>End/start</t>
  </si>
  <si>
    <t>End</t>
  </si>
  <si>
    <t>F4</t>
  </si>
  <si>
    <t>M, F4 - Top of bank</t>
  </si>
  <si>
    <t>M, F2, F4 - In stream</t>
  </si>
  <si>
    <t>Flow Wid</t>
  </si>
  <si>
    <t>F3 Depth</t>
  </si>
  <si>
    <t>T3 flow</t>
  </si>
  <si>
    <t>F3 Comment</t>
  </si>
  <si>
    <t>F3 Area</t>
  </si>
  <si>
    <t>F3 Flow</t>
  </si>
  <si>
    <t>F3 CFS</t>
  </si>
  <si>
    <t>F3 Wid</t>
  </si>
  <si>
    <t>F4 Depth</t>
  </si>
  <si>
    <t>F4 Area</t>
  </si>
  <si>
    <t>F4 Flow</t>
  </si>
  <si>
    <t>F4 CFS</t>
  </si>
  <si>
    <t>F4 Wid</t>
  </si>
  <si>
    <t>F4 Comment</t>
  </si>
  <si>
    <t>F3 AT</t>
  </si>
  <si>
    <t>F4 AT</t>
  </si>
  <si>
    <t>Flow 2 - Open 0.75"</t>
  </si>
  <si>
    <t>Flow 3 - Open 1.5"</t>
  </si>
  <si>
    <t>Flow 4 - Open 3"</t>
  </si>
  <si>
    <t>Water Level</t>
  </si>
  <si>
    <t>ft (pres)</t>
  </si>
  <si>
    <t>M - Edge of bank</t>
  </si>
  <si>
    <t>M, F1, F2, F4</t>
  </si>
  <si>
    <t>F1, F2, F4 - End of range</t>
  </si>
  <si>
    <t>M, F3</t>
  </si>
  <si>
    <t>F1, F4</t>
  </si>
  <si>
    <t>M - The End</t>
  </si>
  <si>
    <t>M - Top of rock</t>
  </si>
  <si>
    <t>Sfc Read</t>
  </si>
  <si>
    <t>Bot Read</t>
  </si>
  <si>
    <t>End/Start</t>
  </si>
  <si>
    <t>End water</t>
  </si>
  <si>
    <t>Corrected:</t>
  </si>
  <si>
    <t>M, F1, F4</t>
  </si>
  <si>
    <t>F1, F2, F3, F4</t>
  </si>
  <si>
    <t>T2 Width</t>
  </si>
  <si>
    <t>T1 Width</t>
  </si>
  <si>
    <t>T3 Width</t>
  </si>
  <si>
    <t>T4 Width</t>
  </si>
  <si>
    <t>Flow 1</t>
  </si>
  <si>
    <t>Width - ft</t>
  </si>
  <si>
    <t>Flow Width - ft</t>
  </si>
  <si>
    <t>Area - sqft</t>
  </si>
  <si>
    <t>Flow - cfs</t>
  </si>
  <si>
    <t>Avg Depth - ft</t>
  </si>
  <si>
    <t>Flow 2</t>
  </si>
  <si>
    <t>Flow 3</t>
  </si>
  <si>
    <t>Flow 4</t>
  </si>
  <si>
    <t>BB Width</t>
  </si>
  <si>
    <t>Elev - ft USGS</t>
  </si>
  <si>
    <t>Substrate</t>
  </si>
  <si>
    <t>Bank Full Width</t>
  </si>
  <si>
    <t>Avg Flow- ft/s</t>
  </si>
  <si>
    <t>BF Pct</t>
  </si>
  <si>
    <t>Chan Depth -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</si>
</sst>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9" fontId="0" fillId="0" borderId="0" xfId="1" applyFont="1" applyAlignment="1">
      <alignment vertical="center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1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vertical="center"/>
    </xf>
    <xf numFmtId="2" fontId="0" fillId="0" borderId="0" xfId="1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Transect</a:t>
            </a:r>
            <a:r>
              <a:rPr lang="en-US" baseline="0"/>
              <a:t>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T1M!$Q$1</c:f>
              <c:strCache>
                <c:ptCount val="1"/>
                <c:pt idx="0">
                  <c:v>Subs Elev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T1M!$P$2:$P$168</c:f>
              <c:strCache>
                <c:ptCount val="50"/>
                <c:pt idx="0">
                  <c:v>12</c:v>
                </c:pt>
                <c:pt idx="1">
                  <c:v>22.91666667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</c:v>
                </c:pt>
                <c:pt idx="6">
                  <c:v>26.58333333</c:v>
                </c:pt>
                <c:pt idx="7">
                  <c:v>27.29166667</c:v>
                </c:pt>
                <c:pt idx="8">
                  <c:v>27.75</c:v>
                </c:pt>
                <c:pt idx="9">
                  <c:v>30</c:v>
                </c:pt>
                <c:pt idx="10">
                  <c:v>30.08333333</c:v>
                </c:pt>
                <c:pt idx="11">
                  <c:v>31</c:v>
                </c:pt>
                <c:pt idx="12">
                  <c:v>34.5</c:v>
                </c:pt>
                <c:pt idx="13">
                  <c:v>35.16666667</c:v>
                </c:pt>
                <c:pt idx="14">
                  <c:v>37.08333333</c:v>
                </c:pt>
                <c:pt idx="15">
                  <c:v>37.33333333</c:v>
                </c:pt>
                <c:pt idx="16">
                  <c:v>40</c:v>
                </c:pt>
                <c:pt idx="17">
                  <c:v>41.33333333</c:v>
                </c:pt>
                <c:pt idx="18">
                  <c:v>43.41666667</c:v>
                </c:pt>
                <c:pt idx="19">
                  <c:v>43.75</c:v>
                </c:pt>
                <c:pt idx="20">
                  <c:v>44</c:v>
                </c:pt>
                <c:pt idx="21">
                  <c:v>46.08333333</c:v>
                </c:pt>
                <c:pt idx="22">
                  <c:v>48</c:v>
                </c:pt>
                <c:pt idx="23">
                  <c:v>49.33333333</c:v>
                </c:pt>
                <c:pt idx="24">
                  <c:v>49.41666667</c:v>
                </c:pt>
                <c:pt idx="25">
                  <c:v>52</c:v>
                </c:pt>
                <c:pt idx="26">
                  <c:v>53</c:v>
                </c:pt>
                <c:pt idx="27">
                  <c:v>53.58333333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</c:v>
                </c:pt>
                <c:pt idx="32">
                  <c:v>55.75</c:v>
                </c:pt>
                <c:pt idx="33">
                  <c:v>56.83333333</c:v>
                </c:pt>
                <c:pt idx="34">
                  <c:v>57</c:v>
                </c:pt>
                <c:pt idx="35">
                  <c:v>57.33333333</c:v>
                </c:pt>
                <c:pt idx="36">
                  <c:v>57.41666667</c:v>
                </c:pt>
                <c:pt idx="37">
                  <c:v>60.58333333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62.66666667</c:v>
                </c:pt>
                <c:pt idx="42">
                  <c:v>64.08333333</c:v>
                </c:pt>
                <c:pt idx="43">
                  <c:v>67.91666667</c:v>
                </c:pt>
                <c:pt idx="45">
                  <c:v>Chan Depth - ft</c:v>
                </c:pt>
                <c:pt idx="46">
                  <c:v>0.77</c:v>
                </c:pt>
                <c:pt idx="47">
                  <c:v>1.22</c:v>
                </c:pt>
                <c:pt idx="48">
                  <c:v>1.40</c:v>
                </c:pt>
                <c:pt idx="49">
                  <c:v>1.60</c:v>
                </c:pt>
              </c:strCache>
            </c:strRef>
          </c:xVal>
          <c:yVal>
            <c:numRef>
              <c:f>T1M!$Q$2:$Q$168</c:f>
              <c:numCache>
                <c:formatCode>General</c:formatCode>
                <c:ptCount val="167"/>
                <c:pt idx="0">
                  <c:v>146.77780000000001</c:v>
                </c:pt>
                <c:pt idx="1">
                  <c:v>145.8878</c:v>
                </c:pt>
                <c:pt idx="2">
                  <c:v>144.5078</c:v>
                </c:pt>
                <c:pt idx="3">
                  <c:v>144.49407659574467</c:v>
                </c:pt>
                <c:pt idx="4">
                  <c:v>144.32939574468085</c:v>
                </c:pt>
                <c:pt idx="5">
                  <c:v>144.29280000000003</c:v>
                </c:pt>
                <c:pt idx="6">
                  <c:v>144.15556595744684</c:v>
                </c:pt>
                <c:pt idx="7">
                  <c:v>144.07780000000002</c:v>
                </c:pt>
                <c:pt idx="8">
                  <c:v>144.11556119402988</c:v>
                </c:pt>
                <c:pt idx="9">
                  <c:v>144.30093432835821</c:v>
                </c:pt>
                <c:pt idx="10">
                  <c:v>144.30780000000001</c:v>
                </c:pt>
                <c:pt idx="11">
                  <c:v>144.35584597701151</c:v>
                </c:pt>
                <c:pt idx="12">
                  <c:v>144.53929425287359</c:v>
                </c:pt>
                <c:pt idx="13">
                  <c:v>144.57423678160922</c:v>
                </c:pt>
                <c:pt idx="14">
                  <c:v>144.67469655172414</c:v>
                </c:pt>
                <c:pt idx="15">
                  <c:v>144.68780000000001</c:v>
                </c:pt>
                <c:pt idx="16">
                  <c:v>144.60468311688314</c:v>
                </c:pt>
                <c:pt idx="17">
                  <c:v>144.5631246753247</c:v>
                </c:pt>
                <c:pt idx="18">
                  <c:v>144.49818961038963</c:v>
                </c:pt>
                <c:pt idx="19">
                  <c:v>144.48780000000002</c:v>
                </c:pt>
                <c:pt idx="20">
                  <c:v>144.50123283582093</c:v>
                </c:pt>
                <c:pt idx="21">
                  <c:v>144.61317313432838</c:v>
                </c:pt>
                <c:pt idx="22">
                  <c:v>144.71615820895522</c:v>
                </c:pt>
                <c:pt idx="23">
                  <c:v>144.7878</c:v>
                </c:pt>
                <c:pt idx="24">
                  <c:v>144.78101428571429</c:v>
                </c:pt>
                <c:pt idx="25">
                  <c:v>144.57065714285716</c:v>
                </c:pt>
                <c:pt idx="26">
                  <c:v>144.48922857142858</c:v>
                </c:pt>
                <c:pt idx="27">
                  <c:v>144.44172857142857</c:v>
                </c:pt>
                <c:pt idx="28">
                  <c:v>144.40780000000001</c:v>
                </c:pt>
                <c:pt idx="29">
                  <c:v>144.28148421052632</c:v>
                </c:pt>
                <c:pt idx="30">
                  <c:v>144.25622105263159</c:v>
                </c:pt>
                <c:pt idx="31">
                  <c:v>144.24780000000001</c:v>
                </c:pt>
                <c:pt idx="32">
                  <c:v>144.35446666666667</c:v>
                </c:pt>
                <c:pt idx="33">
                  <c:v>145.04780000000002</c:v>
                </c:pt>
                <c:pt idx="34">
                  <c:v>144.80113333333335</c:v>
                </c:pt>
                <c:pt idx="35">
                  <c:v>144.30780000000001</c:v>
                </c:pt>
                <c:pt idx="36">
                  <c:v>144.32780000000002</c:v>
                </c:pt>
                <c:pt idx="37">
                  <c:v>145.08780000000002</c:v>
                </c:pt>
                <c:pt idx="38">
                  <c:v>145.31280000000001</c:v>
                </c:pt>
                <c:pt idx="39">
                  <c:v>145.4478</c:v>
                </c:pt>
                <c:pt idx="40">
                  <c:v>145.4478</c:v>
                </c:pt>
                <c:pt idx="41">
                  <c:v>146.01780000000002</c:v>
                </c:pt>
                <c:pt idx="42">
                  <c:v>146.56780000000001</c:v>
                </c:pt>
                <c:pt idx="43">
                  <c:v>147.49780000000001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04-44EF-B6EB-4E3FD15C61AF}"/>
            </c:ext>
          </c:extLst>
        </c:ser>
        <c:ser>
          <c:idx val="1"/>
          <c:order val="1"/>
          <c:tx>
            <c:strRef>
              <c:f>T1M!$T$1</c:f>
              <c:strCache>
                <c:ptCount val="1"/>
                <c:pt idx="0">
                  <c:v>1 W Elev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T1M!$P$2:$P$168</c:f>
              <c:strCache>
                <c:ptCount val="50"/>
                <c:pt idx="0">
                  <c:v>12</c:v>
                </c:pt>
                <c:pt idx="1">
                  <c:v>22.91666667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</c:v>
                </c:pt>
                <c:pt idx="6">
                  <c:v>26.58333333</c:v>
                </c:pt>
                <c:pt idx="7">
                  <c:v>27.29166667</c:v>
                </c:pt>
                <c:pt idx="8">
                  <c:v>27.75</c:v>
                </c:pt>
                <c:pt idx="9">
                  <c:v>30</c:v>
                </c:pt>
                <c:pt idx="10">
                  <c:v>30.08333333</c:v>
                </c:pt>
                <c:pt idx="11">
                  <c:v>31</c:v>
                </c:pt>
                <c:pt idx="12">
                  <c:v>34.5</c:v>
                </c:pt>
                <c:pt idx="13">
                  <c:v>35.16666667</c:v>
                </c:pt>
                <c:pt idx="14">
                  <c:v>37.08333333</c:v>
                </c:pt>
                <c:pt idx="15">
                  <c:v>37.33333333</c:v>
                </c:pt>
                <c:pt idx="16">
                  <c:v>40</c:v>
                </c:pt>
                <c:pt idx="17">
                  <c:v>41.33333333</c:v>
                </c:pt>
                <c:pt idx="18">
                  <c:v>43.41666667</c:v>
                </c:pt>
                <c:pt idx="19">
                  <c:v>43.75</c:v>
                </c:pt>
                <c:pt idx="20">
                  <c:v>44</c:v>
                </c:pt>
                <c:pt idx="21">
                  <c:v>46.08333333</c:v>
                </c:pt>
                <c:pt idx="22">
                  <c:v>48</c:v>
                </c:pt>
                <c:pt idx="23">
                  <c:v>49.33333333</c:v>
                </c:pt>
                <c:pt idx="24">
                  <c:v>49.41666667</c:v>
                </c:pt>
                <c:pt idx="25">
                  <c:v>52</c:v>
                </c:pt>
                <c:pt idx="26">
                  <c:v>53</c:v>
                </c:pt>
                <c:pt idx="27">
                  <c:v>53.58333333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</c:v>
                </c:pt>
                <c:pt idx="32">
                  <c:v>55.75</c:v>
                </c:pt>
                <c:pt idx="33">
                  <c:v>56.83333333</c:v>
                </c:pt>
                <c:pt idx="34">
                  <c:v>57</c:v>
                </c:pt>
                <c:pt idx="35">
                  <c:v>57.33333333</c:v>
                </c:pt>
                <c:pt idx="36">
                  <c:v>57.41666667</c:v>
                </c:pt>
                <c:pt idx="37">
                  <c:v>60.58333333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62.66666667</c:v>
                </c:pt>
                <c:pt idx="42">
                  <c:v>64.08333333</c:v>
                </c:pt>
                <c:pt idx="43">
                  <c:v>67.91666667</c:v>
                </c:pt>
                <c:pt idx="45">
                  <c:v>Chan Depth - ft</c:v>
                </c:pt>
                <c:pt idx="46">
                  <c:v>0.77</c:v>
                </c:pt>
                <c:pt idx="47">
                  <c:v>1.22</c:v>
                </c:pt>
                <c:pt idx="48">
                  <c:v>1.40</c:v>
                </c:pt>
                <c:pt idx="49">
                  <c:v>1.60</c:v>
                </c:pt>
              </c:strCache>
            </c:strRef>
          </c:xVal>
          <c:yVal>
            <c:numRef>
              <c:f>T1M!$T$2:$T$168</c:f>
              <c:numCache>
                <c:formatCode>General</c:formatCode>
                <c:ptCount val="167"/>
                <c:pt idx="2">
                  <c:v>145.02939574468084</c:v>
                </c:pt>
                <c:pt idx="3">
                  <c:v>145.02939574468084</c:v>
                </c:pt>
                <c:pt idx="4">
                  <c:v>145.02939574468084</c:v>
                </c:pt>
                <c:pt idx="5">
                  <c:v>145.03475409092144</c:v>
                </c:pt>
                <c:pt idx="6">
                  <c:v>145.05484788932367</c:v>
                </c:pt>
                <c:pt idx="7">
                  <c:v>145.06623437508492</c:v>
                </c:pt>
                <c:pt idx="8">
                  <c:v>145.07360210116573</c:v>
                </c:pt>
                <c:pt idx="9">
                  <c:v>145.10977093828973</c:v>
                </c:pt>
                <c:pt idx="10">
                  <c:v>145.11111052484989</c:v>
                </c:pt>
                <c:pt idx="11">
                  <c:v>145.12584597701152</c:v>
                </c:pt>
                <c:pt idx="12">
                  <c:v>145.2192942528736</c:v>
                </c:pt>
                <c:pt idx="13">
                  <c:v>145.22358381214747</c:v>
                </c:pt>
                <c:pt idx="14">
                  <c:v>145.23591629505989</c:v>
                </c:pt>
                <c:pt idx="15">
                  <c:v>145.2375248797876</c:v>
                </c:pt>
                <c:pt idx="16">
                  <c:v>145.25468311688314</c:v>
                </c:pt>
                <c:pt idx="17">
                  <c:v>145.21686635652907</c:v>
                </c:pt>
                <c:pt idx="18">
                  <c:v>145.15777766847583</c:v>
                </c:pt>
                <c:pt idx="19">
                  <c:v>145.14832347838731</c:v>
                </c:pt>
                <c:pt idx="20">
                  <c:v>145.14123283582092</c:v>
                </c:pt>
                <c:pt idx="21">
                  <c:v>145.11762073758194</c:v>
                </c:pt>
                <c:pt idx="22">
                  <c:v>145.09589760720212</c:v>
                </c:pt>
                <c:pt idx="23">
                  <c:v>145.08078586432916</c:v>
                </c:pt>
                <c:pt idx="24">
                  <c:v>145.07984138039961</c:v>
                </c:pt>
                <c:pt idx="25">
                  <c:v>145.05056237858329</c:v>
                </c:pt>
                <c:pt idx="26">
                  <c:v>145.03922857142859</c:v>
                </c:pt>
                <c:pt idx="27">
                  <c:v>145.03922857142859</c:v>
                </c:pt>
                <c:pt idx="28">
                  <c:v>145.03922857142859</c:v>
                </c:pt>
                <c:pt idx="29">
                  <c:v>145.03922857142859</c:v>
                </c:pt>
                <c:pt idx="30">
                  <c:v>145.03922857142859</c:v>
                </c:pt>
                <c:pt idx="31">
                  <c:v>145.03922857142859</c:v>
                </c:pt>
                <c:pt idx="32">
                  <c:v>145.03922857142859</c:v>
                </c:pt>
                <c:pt idx="33">
                  <c:v>145.03922857142859</c:v>
                </c:pt>
                <c:pt idx="34">
                  <c:v>145.03922857142859</c:v>
                </c:pt>
                <c:pt idx="35">
                  <c:v>145.03922857142859</c:v>
                </c:pt>
                <c:pt idx="36">
                  <c:v>145.03922857142859</c:v>
                </c:pt>
                <c:pt idx="37">
                  <c:v>145.03922857142859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04-44EF-B6EB-4E3FD15C61AF}"/>
            </c:ext>
          </c:extLst>
        </c:ser>
        <c:ser>
          <c:idx val="2"/>
          <c:order val="2"/>
          <c:tx>
            <c:strRef>
              <c:f>T1M!$X$1</c:f>
              <c:strCache>
                <c:ptCount val="1"/>
                <c:pt idx="0">
                  <c:v>2 W Elev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T1M!$P$2:$P$168</c:f>
              <c:strCache>
                <c:ptCount val="50"/>
                <c:pt idx="0">
                  <c:v>12</c:v>
                </c:pt>
                <c:pt idx="1">
                  <c:v>22.91666667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</c:v>
                </c:pt>
                <c:pt idx="6">
                  <c:v>26.58333333</c:v>
                </c:pt>
                <c:pt idx="7">
                  <c:v>27.29166667</c:v>
                </c:pt>
                <c:pt idx="8">
                  <c:v>27.75</c:v>
                </c:pt>
                <c:pt idx="9">
                  <c:v>30</c:v>
                </c:pt>
                <c:pt idx="10">
                  <c:v>30.08333333</c:v>
                </c:pt>
                <c:pt idx="11">
                  <c:v>31</c:v>
                </c:pt>
                <c:pt idx="12">
                  <c:v>34.5</c:v>
                </c:pt>
                <c:pt idx="13">
                  <c:v>35.16666667</c:v>
                </c:pt>
                <c:pt idx="14">
                  <c:v>37.08333333</c:v>
                </c:pt>
                <c:pt idx="15">
                  <c:v>37.33333333</c:v>
                </c:pt>
                <c:pt idx="16">
                  <c:v>40</c:v>
                </c:pt>
                <c:pt idx="17">
                  <c:v>41.33333333</c:v>
                </c:pt>
                <c:pt idx="18">
                  <c:v>43.41666667</c:v>
                </c:pt>
                <c:pt idx="19">
                  <c:v>43.75</c:v>
                </c:pt>
                <c:pt idx="20">
                  <c:v>44</c:v>
                </c:pt>
                <c:pt idx="21">
                  <c:v>46.08333333</c:v>
                </c:pt>
                <c:pt idx="22">
                  <c:v>48</c:v>
                </c:pt>
                <c:pt idx="23">
                  <c:v>49.33333333</c:v>
                </c:pt>
                <c:pt idx="24">
                  <c:v>49.41666667</c:v>
                </c:pt>
                <c:pt idx="25">
                  <c:v>52</c:v>
                </c:pt>
                <c:pt idx="26">
                  <c:v>53</c:v>
                </c:pt>
                <c:pt idx="27">
                  <c:v>53.58333333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</c:v>
                </c:pt>
                <c:pt idx="32">
                  <c:v>55.75</c:v>
                </c:pt>
                <c:pt idx="33">
                  <c:v>56.83333333</c:v>
                </c:pt>
                <c:pt idx="34">
                  <c:v>57</c:v>
                </c:pt>
                <c:pt idx="35">
                  <c:v>57.33333333</c:v>
                </c:pt>
                <c:pt idx="36">
                  <c:v>57.41666667</c:v>
                </c:pt>
                <c:pt idx="37">
                  <c:v>60.58333333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62.66666667</c:v>
                </c:pt>
                <c:pt idx="42">
                  <c:v>64.08333333</c:v>
                </c:pt>
                <c:pt idx="43">
                  <c:v>67.91666667</c:v>
                </c:pt>
                <c:pt idx="45">
                  <c:v>Chan Depth - ft</c:v>
                </c:pt>
                <c:pt idx="46">
                  <c:v>0.77</c:v>
                </c:pt>
                <c:pt idx="47">
                  <c:v>1.22</c:v>
                </c:pt>
                <c:pt idx="48">
                  <c:v>1.40</c:v>
                </c:pt>
                <c:pt idx="49">
                  <c:v>1.60</c:v>
                </c:pt>
              </c:strCache>
            </c:strRef>
          </c:xVal>
          <c:yVal>
            <c:numRef>
              <c:f>T1M!$X$2:$X$168</c:f>
              <c:numCache>
                <c:formatCode>General</c:formatCode>
                <c:ptCount val="167"/>
                <c:pt idx="1">
                  <c:v>145.23407659574468</c:v>
                </c:pt>
                <c:pt idx="2">
                  <c:v>145.23407659574468</c:v>
                </c:pt>
                <c:pt idx="3" formatCode="0.00">
                  <c:v>145.23407659574468</c:v>
                </c:pt>
                <c:pt idx="4" formatCode="0.00">
                  <c:v>145.22939574468086</c:v>
                </c:pt>
                <c:pt idx="5">
                  <c:v>145.23934545454546</c:v>
                </c:pt>
                <c:pt idx="6">
                  <c:v>145.27665686653773</c:v>
                </c:pt>
                <c:pt idx="7" formatCode="0.00">
                  <c:v>145.29780000000002</c:v>
                </c:pt>
                <c:pt idx="8">
                  <c:v>145.30108358208957</c:v>
                </c:pt>
                <c:pt idx="9">
                  <c:v>145.31720298507463</c:v>
                </c:pt>
                <c:pt idx="10" formatCode="0.00">
                  <c:v>145.31780000000001</c:v>
                </c:pt>
                <c:pt idx="11">
                  <c:v>145.30773276946434</c:v>
                </c:pt>
                <c:pt idx="12" formatCode="0.00">
                  <c:v>145.26929425287358</c:v>
                </c:pt>
                <c:pt idx="13">
                  <c:v>145.28449290305656</c:v>
                </c:pt>
                <c:pt idx="14">
                  <c:v>145.32818902233262</c:v>
                </c:pt>
                <c:pt idx="15">
                  <c:v>145.33388851615123</c:v>
                </c:pt>
                <c:pt idx="16" formatCode="0.00">
                  <c:v>145.39468311688313</c:v>
                </c:pt>
                <c:pt idx="17">
                  <c:v>145.33019968986238</c:v>
                </c:pt>
                <c:pt idx="18">
                  <c:v>145.22944433514249</c:v>
                </c:pt>
                <c:pt idx="19">
                  <c:v>145.21332347838731</c:v>
                </c:pt>
                <c:pt idx="20" formatCode="0.00">
                  <c:v>145.20123283582092</c:v>
                </c:pt>
                <c:pt idx="21">
                  <c:v>145.21465777461898</c:v>
                </c:pt>
                <c:pt idx="22">
                  <c:v>145.22700871831321</c:v>
                </c:pt>
                <c:pt idx="23">
                  <c:v>145.23560067914397</c:v>
                </c:pt>
                <c:pt idx="24">
                  <c:v>145.2361376766959</c:v>
                </c:pt>
                <c:pt idx="25">
                  <c:v>145.25278460080551</c:v>
                </c:pt>
                <c:pt idx="26" formatCode="0.00">
                  <c:v>145.25922857142859</c:v>
                </c:pt>
                <c:pt idx="27">
                  <c:v>145.28579422799424</c:v>
                </c:pt>
                <c:pt idx="28">
                  <c:v>145.30476969696971</c:v>
                </c:pt>
                <c:pt idx="29">
                  <c:v>145.36169610389612</c:v>
                </c:pt>
                <c:pt idx="30">
                  <c:v>145.37308138528138</c:v>
                </c:pt>
                <c:pt idx="31">
                  <c:v>145.37687647907649</c:v>
                </c:pt>
                <c:pt idx="32" formatCode="0.00">
                  <c:v>145.38446666666667</c:v>
                </c:pt>
                <c:pt idx="33">
                  <c:v>145.38446666666667</c:v>
                </c:pt>
                <c:pt idx="34">
                  <c:v>145.38446666666667</c:v>
                </c:pt>
                <c:pt idx="35">
                  <c:v>145.38446666666667</c:v>
                </c:pt>
                <c:pt idx="36">
                  <c:v>145.38446666666667</c:v>
                </c:pt>
                <c:pt idx="37">
                  <c:v>145.38446666666667</c:v>
                </c:pt>
                <c:pt idx="38">
                  <c:v>145.38446666666667</c:v>
                </c:pt>
                <c:pt idx="39">
                  <c:v>145.38446666666667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04-44EF-B6EB-4E3FD15C61AF}"/>
            </c:ext>
          </c:extLst>
        </c:ser>
        <c:ser>
          <c:idx val="3"/>
          <c:order val="3"/>
          <c:tx>
            <c:strRef>
              <c:f>T1M!$AB$1</c:f>
              <c:strCache>
                <c:ptCount val="1"/>
                <c:pt idx="0">
                  <c:v>3 W Elev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T1M!$P$2:$P$168</c:f>
              <c:strCache>
                <c:ptCount val="50"/>
                <c:pt idx="0">
                  <c:v>12</c:v>
                </c:pt>
                <c:pt idx="1">
                  <c:v>22.91666667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</c:v>
                </c:pt>
                <c:pt idx="6">
                  <c:v>26.58333333</c:v>
                </c:pt>
                <c:pt idx="7">
                  <c:v>27.29166667</c:v>
                </c:pt>
                <c:pt idx="8">
                  <c:v>27.75</c:v>
                </c:pt>
                <c:pt idx="9">
                  <c:v>30</c:v>
                </c:pt>
                <c:pt idx="10">
                  <c:v>30.08333333</c:v>
                </c:pt>
                <c:pt idx="11">
                  <c:v>31</c:v>
                </c:pt>
                <c:pt idx="12">
                  <c:v>34.5</c:v>
                </c:pt>
                <c:pt idx="13">
                  <c:v>35.16666667</c:v>
                </c:pt>
                <c:pt idx="14">
                  <c:v>37.08333333</c:v>
                </c:pt>
                <c:pt idx="15">
                  <c:v>37.33333333</c:v>
                </c:pt>
                <c:pt idx="16">
                  <c:v>40</c:v>
                </c:pt>
                <c:pt idx="17">
                  <c:v>41.33333333</c:v>
                </c:pt>
                <c:pt idx="18">
                  <c:v>43.41666667</c:v>
                </c:pt>
                <c:pt idx="19">
                  <c:v>43.75</c:v>
                </c:pt>
                <c:pt idx="20">
                  <c:v>44</c:v>
                </c:pt>
                <c:pt idx="21">
                  <c:v>46.08333333</c:v>
                </c:pt>
                <c:pt idx="22">
                  <c:v>48</c:v>
                </c:pt>
                <c:pt idx="23">
                  <c:v>49.33333333</c:v>
                </c:pt>
                <c:pt idx="24">
                  <c:v>49.41666667</c:v>
                </c:pt>
                <c:pt idx="25">
                  <c:v>52</c:v>
                </c:pt>
                <c:pt idx="26">
                  <c:v>53</c:v>
                </c:pt>
                <c:pt idx="27">
                  <c:v>53.58333333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</c:v>
                </c:pt>
                <c:pt idx="32">
                  <c:v>55.75</c:v>
                </c:pt>
                <c:pt idx="33">
                  <c:v>56.83333333</c:v>
                </c:pt>
                <c:pt idx="34">
                  <c:v>57</c:v>
                </c:pt>
                <c:pt idx="35">
                  <c:v>57.33333333</c:v>
                </c:pt>
                <c:pt idx="36">
                  <c:v>57.41666667</c:v>
                </c:pt>
                <c:pt idx="37">
                  <c:v>60.58333333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62.66666667</c:v>
                </c:pt>
                <c:pt idx="42">
                  <c:v>64.08333333</c:v>
                </c:pt>
                <c:pt idx="43">
                  <c:v>67.91666667</c:v>
                </c:pt>
                <c:pt idx="45">
                  <c:v>Chan Depth - ft</c:v>
                </c:pt>
                <c:pt idx="46">
                  <c:v>0.77</c:v>
                </c:pt>
                <c:pt idx="47">
                  <c:v>1.22</c:v>
                </c:pt>
                <c:pt idx="48">
                  <c:v>1.40</c:v>
                </c:pt>
                <c:pt idx="49">
                  <c:v>1.60</c:v>
                </c:pt>
              </c:strCache>
            </c:strRef>
          </c:xVal>
          <c:yVal>
            <c:numRef>
              <c:f>T1M!$AB$2:$AB$168</c:f>
              <c:numCache>
                <c:formatCode>General</c:formatCode>
                <c:ptCount val="167"/>
                <c:pt idx="1">
                  <c:v>145.49407659574467</c:v>
                </c:pt>
                <c:pt idx="2">
                  <c:v>145.49407659574467</c:v>
                </c:pt>
                <c:pt idx="3" formatCode="0.00">
                  <c:v>145.49407659574467</c:v>
                </c:pt>
                <c:pt idx="4">
                  <c:v>145.32939574468088</c:v>
                </c:pt>
                <c:pt idx="5" formatCode="0.00">
                  <c:v>145.29280000000003</c:v>
                </c:pt>
                <c:pt idx="6" formatCode="0.00">
                  <c:v>145.55556595744685</c:v>
                </c:pt>
                <c:pt idx="7">
                  <c:v>145.51913449394368</c:v>
                </c:pt>
                <c:pt idx="8" formatCode="0.00">
                  <c:v>145.49556119402988</c:v>
                </c:pt>
                <c:pt idx="9" formatCode="0.00">
                  <c:v>145.5009343283582</c:v>
                </c:pt>
                <c:pt idx="10">
                  <c:v>145.50211662599128</c:v>
                </c:pt>
                <c:pt idx="11">
                  <c:v>145.51512189995518</c:v>
                </c:pt>
                <c:pt idx="12">
                  <c:v>145.56477840054455</c:v>
                </c:pt>
                <c:pt idx="13" formatCode="0.00">
                  <c:v>145.57423678160922</c:v>
                </c:pt>
                <c:pt idx="14" formatCode="0.00">
                  <c:v>145.55469655172413</c:v>
                </c:pt>
                <c:pt idx="15">
                  <c:v>145.56048644134771</c:v>
                </c:pt>
                <c:pt idx="16">
                  <c:v>145.62224526399905</c:v>
                </c:pt>
                <c:pt idx="17" formatCode="0.00">
                  <c:v>145.6531246753247</c:v>
                </c:pt>
                <c:pt idx="18" formatCode="0.00">
                  <c:v>145.47818961038962</c:v>
                </c:pt>
                <c:pt idx="19">
                  <c:v>145.48256255088197</c:v>
                </c:pt>
                <c:pt idx="20">
                  <c:v>145.48584225625123</c:v>
                </c:pt>
                <c:pt idx="21" formatCode="0.00">
                  <c:v>145.51317313432838</c:v>
                </c:pt>
                <c:pt idx="22" formatCode="0.00">
                  <c:v>145.41615820895521</c:v>
                </c:pt>
                <c:pt idx="23">
                  <c:v>145.52425804590493</c:v>
                </c:pt>
                <c:pt idx="24" formatCode="0.00">
                  <c:v>145.53101428571429</c:v>
                </c:pt>
                <c:pt idx="25" formatCode="0.00">
                  <c:v>145.45065714285715</c:v>
                </c:pt>
                <c:pt idx="26">
                  <c:v>145.47028120300752</c:v>
                </c:pt>
                <c:pt idx="27" formatCode="0.00">
                  <c:v>145.48172857142856</c:v>
                </c:pt>
                <c:pt idx="28">
                  <c:v>145.426667481203</c:v>
                </c:pt>
                <c:pt idx="29" formatCode="0.00">
                  <c:v>145.26148421052631</c:v>
                </c:pt>
                <c:pt idx="30" formatCode="0.00">
                  <c:v>145.23622105263158</c:v>
                </c:pt>
                <c:pt idx="31">
                  <c:v>145.23704951267055</c:v>
                </c:pt>
                <c:pt idx="32">
                  <c:v>145.23870643274853</c:v>
                </c:pt>
                <c:pt idx="33">
                  <c:v>145.24947641325537</c:v>
                </c:pt>
                <c:pt idx="34" formatCode="0.00">
                  <c:v>145.25113333333334</c:v>
                </c:pt>
                <c:pt idx="35">
                  <c:v>145.1284666666667</c:v>
                </c:pt>
                <c:pt idx="36" formatCode="0.00">
                  <c:v>145.09780000000003</c:v>
                </c:pt>
                <c:pt idx="37">
                  <c:v>145.37617209302326</c:v>
                </c:pt>
                <c:pt idx="38" formatCode="0.00">
                  <c:v>145.4128</c:v>
                </c:pt>
                <c:pt idx="39">
                  <c:v>145.4128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04-44EF-B6EB-4E3FD15C61AF}"/>
            </c:ext>
          </c:extLst>
        </c:ser>
        <c:ser>
          <c:idx val="4"/>
          <c:order val="4"/>
          <c:tx>
            <c:strRef>
              <c:f>T1M!$AF$1</c:f>
              <c:strCache>
                <c:ptCount val="1"/>
                <c:pt idx="0">
                  <c:v>4 W Elev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T1M!$P$2:$P$168</c:f>
              <c:strCache>
                <c:ptCount val="50"/>
                <c:pt idx="0">
                  <c:v>12</c:v>
                </c:pt>
                <c:pt idx="1">
                  <c:v>22.91666667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</c:v>
                </c:pt>
                <c:pt idx="6">
                  <c:v>26.58333333</c:v>
                </c:pt>
                <c:pt idx="7">
                  <c:v>27.29166667</c:v>
                </c:pt>
                <c:pt idx="8">
                  <c:v>27.75</c:v>
                </c:pt>
                <c:pt idx="9">
                  <c:v>30</c:v>
                </c:pt>
                <c:pt idx="10">
                  <c:v>30.08333333</c:v>
                </c:pt>
                <c:pt idx="11">
                  <c:v>31</c:v>
                </c:pt>
                <c:pt idx="12">
                  <c:v>34.5</c:v>
                </c:pt>
                <c:pt idx="13">
                  <c:v>35.16666667</c:v>
                </c:pt>
                <c:pt idx="14">
                  <c:v>37.08333333</c:v>
                </c:pt>
                <c:pt idx="15">
                  <c:v>37.33333333</c:v>
                </c:pt>
                <c:pt idx="16">
                  <c:v>40</c:v>
                </c:pt>
                <c:pt idx="17">
                  <c:v>41.33333333</c:v>
                </c:pt>
                <c:pt idx="18">
                  <c:v>43.41666667</c:v>
                </c:pt>
                <c:pt idx="19">
                  <c:v>43.75</c:v>
                </c:pt>
                <c:pt idx="20">
                  <c:v>44</c:v>
                </c:pt>
                <c:pt idx="21">
                  <c:v>46.08333333</c:v>
                </c:pt>
                <c:pt idx="22">
                  <c:v>48</c:v>
                </c:pt>
                <c:pt idx="23">
                  <c:v>49.33333333</c:v>
                </c:pt>
                <c:pt idx="24">
                  <c:v>49.41666667</c:v>
                </c:pt>
                <c:pt idx="25">
                  <c:v>52</c:v>
                </c:pt>
                <c:pt idx="26">
                  <c:v>53</c:v>
                </c:pt>
                <c:pt idx="27">
                  <c:v>53.58333333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</c:v>
                </c:pt>
                <c:pt idx="32">
                  <c:v>55.75</c:v>
                </c:pt>
                <c:pt idx="33">
                  <c:v>56.83333333</c:v>
                </c:pt>
                <c:pt idx="34">
                  <c:v>57</c:v>
                </c:pt>
                <c:pt idx="35">
                  <c:v>57.33333333</c:v>
                </c:pt>
                <c:pt idx="36">
                  <c:v>57.41666667</c:v>
                </c:pt>
                <c:pt idx="37">
                  <c:v>60.58333333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62.66666667</c:v>
                </c:pt>
                <c:pt idx="42">
                  <c:v>64.08333333</c:v>
                </c:pt>
                <c:pt idx="43">
                  <c:v>67.91666667</c:v>
                </c:pt>
                <c:pt idx="45">
                  <c:v>Chan Depth - ft</c:v>
                </c:pt>
                <c:pt idx="46">
                  <c:v>0.77</c:v>
                </c:pt>
                <c:pt idx="47">
                  <c:v>1.22</c:v>
                </c:pt>
                <c:pt idx="48">
                  <c:v>1.40</c:v>
                </c:pt>
                <c:pt idx="49">
                  <c:v>1.60</c:v>
                </c:pt>
              </c:strCache>
            </c:strRef>
          </c:xVal>
          <c:yVal>
            <c:numRef>
              <c:f>T1M!$AF$2:$AF$168</c:f>
              <c:numCache>
                <c:formatCode>General</c:formatCode>
                <c:ptCount val="167"/>
                <c:pt idx="1">
                  <c:v>145.69407659574466</c:v>
                </c:pt>
                <c:pt idx="2">
                  <c:v>145.69407659574466</c:v>
                </c:pt>
                <c:pt idx="3" formatCode="0.00">
                  <c:v>145.69407659574466</c:v>
                </c:pt>
                <c:pt idx="4" formatCode="0.00">
                  <c:v>145.62939574468086</c:v>
                </c:pt>
                <c:pt idx="5">
                  <c:v>145.63643636363636</c:v>
                </c:pt>
                <c:pt idx="6">
                  <c:v>145.66283868471956</c:v>
                </c:pt>
                <c:pt idx="7" formatCode="0.00">
                  <c:v>145.67780000000002</c:v>
                </c:pt>
                <c:pt idx="8">
                  <c:v>145.68272537313436</c:v>
                </c:pt>
                <c:pt idx="9">
                  <c:v>145.70690447761197</c:v>
                </c:pt>
                <c:pt idx="10" formatCode="0.00">
                  <c:v>145.70780000000002</c:v>
                </c:pt>
                <c:pt idx="11">
                  <c:v>145.75169503361528</c:v>
                </c:pt>
                <c:pt idx="12" formatCode="0.00">
                  <c:v>145.91929425287358</c:v>
                </c:pt>
                <c:pt idx="13">
                  <c:v>145.90540199396565</c:v>
                </c:pt>
                <c:pt idx="14">
                  <c:v>145.86546174960534</c:v>
                </c:pt>
                <c:pt idx="15">
                  <c:v>145.86025215251487</c:v>
                </c:pt>
                <c:pt idx="16" formatCode="0.00">
                  <c:v>145.80468311688313</c:v>
                </c:pt>
                <c:pt idx="17">
                  <c:v>145.70353302319572</c:v>
                </c:pt>
                <c:pt idx="18">
                  <c:v>145.54548600180917</c:v>
                </c:pt>
                <c:pt idx="19">
                  <c:v>145.52019847838733</c:v>
                </c:pt>
                <c:pt idx="20" formatCode="0.00">
                  <c:v>145.50123283582093</c:v>
                </c:pt>
                <c:pt idx="21">
                  <c:v>145.52160221906345</c:v>
                </c:pt>
                <c:pt idx="22">
                  <c:v>145.54034205164655</c:v>
                </c:pt>
                <c:pt idx="23">
                  <c:v>145.55337845692176</c:v>
                </c:pt>
                <c:pt idx="24">
                  <c:v>145.55419323225146</c:v>
                </c:pt>
                <c:pt idx="25">
                  <c:v>145.57945126747217</c:v>
                </c:pt>
                <c:pt idx="26" formatCode="0.00">
                  <c:v>145.58922857142858</c:v>
                </c:pt>
                <c:pt idx="27">
                  <c:v>145.60306695526697</c:v>
                </c:pt>
                <c:pt idx="28">
                  <c:v>145.61295151515154</c:v>
                </c:pt>
                <c:pt idx="29">
                  <c:v>145.64260519480521</c:v>
                </c:pt>
                <c:pt idx="30">
                  <c:v>145.64853593073593</c:v>
                </c:pt>
                <c:pt idx="31">
                  <c:v>145.65051284271286</c:v>
                </c:pt>
                <c:pt idx="32" formatCode="0.00">
                  <c:v>145.65446666666668</c:v>
                </c:pt>
                <c:pt idx="33">
                  <c:v>145.66650370370371</c:v>
                </c:pt>
                <c:pt idx="34">
                  <c:v>145.66835555555556</c:v>
                </c:pt>
                <c:pt idx="35">
                  <c:v>145.67205925925927</c:v>
                </c:pt>
                <c:pt idx="36">
                  <c:v>145.67298518518521</c:v>
                </c:pt>
                <c:pt idx="37">
                  <c:v>145.7081703703704</c:v>
                </c:pt>
                <c:pt idx="38" formatCode="0.00">
                  <c:v>145.71280000000002</c:v>
                </c:pt>
                <c:pt idx="39">
                  <c:v>145.71280000000002</c:v>
                </c:pt>
                <c:pt idx="40">
                  <c:v>145.71280000000002</c:v>
                </c:pt>
                <c:pt idx="41">
                  <c:v>145.71280000000002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04-44EF-B6EB-4E3FD15C6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234736"/>
        <c:axId val="634235064"/>
      </c:scatterChart>
      <c:valAx>
        <c:axId val="634234736"/>
        <c:scaling>
          <c:orientation val="minMax"/>
          <c:max val="7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235064"/>
        <c:crosses val="autoZero"/>
        <c:crossBetween val="midCat"/>
      </c:valAx>
      <c:valAx>
        <c:axId val="63423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23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T2_tmp!$AA$3:$AA$63</c:f>
              <c:strCache>
                <c:ptCount val="6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T2_tmp!$Z$64:$Z$113</c:f>
              <c:strCache>
                <c:ptCount val="48"/>
                <c:pt idx="0">
                  <c:v>Dist</c:v>
                </c:pt>
                <c:pt idx="1">
                  <c:v>4</c:v>
                </c:pt>
                <c:pt idx="2">
                  <c:v>4.666666667</c:v>
                </c:pt>
                <c:pt idx="3">
                  <c:v>4.75</c:v>
                </c:pt>
                <c:pt idx="4">
                  <c:v>5.166666667</c:v>
                </c:pt>
                <c:pt idx="5">
                  <c:v>5.416666667</c:v>
                </c:pt>
                <c:pt idx="6">
                  <c:v>5.583333333</c:v>
                </c:pt>
                <c:pt idx="7">
                  <c:v>6.083333333</c:v>
                </c:pt>
                <c:pt idx="8">
                  <c:v>6.666666667</c:v>
                </c:pt>
                <c:pt idx="9">
                  <c:v>6.75</c:v>
                </c:pt>
                <c:pt idx="10">
                  <c:v>8.416666667</c:v>
                </c:pt>
                <c:pt idx="11">
                  <c:v>8.666666667</c:v>
                </c:pt>
                <c:pt idx="12">
                  <c:v>9.5</c:v>
                </c:pt>
                <c:pt idx="13">
                  <c:v>9.666666667</c:v>
                </c:pt>
                <c:pt idx="14">
                  <c:v>11.08333333</c:v>
                </c:pt>
                <c:pt idx="15">
                  <c:v>11.16666667</c:v>
                </c:pt>
                <c:pt idx="16">
                  <c:v>12</c:v>
                </c:pt>
                <c:pt idx="17">
                  <c:v>12.16666667</c:v>
                </c:pt>
                <c:pt idx="18">
                  <c:v>12.25</c:v>
                </c:pt>
                <c:pt idx="19">
                  <c:v>13.08333333</c:v>
                </c:pt>
                <c:pt idx="20">
                  <c:v>13.16666667</c:v>
                </c:pt>
                <c:pt idx="21">
                  <c:v>13.66666667</c:v>
                </c:pt>
                <c:pt idx="22">
                  <c:v>13.83333333</c:v>
                </c:pt>
                <c:pt idx="23">
                  <c:v>18.75</c:v>
                </c:pt>
                <c:pt idx="24">
                  <c:v>20.16666667</c:v>
                </c:pt>
                <c:pt idx="25">
                  <c:v>20.25</c:v>
                </c:pt>
                <c:pt idx="26">
                  <c:v>20.41666667</c:v>
                </c:pt>
                <c:pt idx="27">
                  <c:v>21.41666667</c:v>
                </c:pt>
                <c:pt idx="28">
                  <c:v>21.5</c:v>
                </c:pt>
                <c:pt idx="29">
                  <c:v>22.25</c:v>
                </c:pt>
                <c:pt idx="30">
                  <c:v>22.83333333</c:v>
                </c:pt>
                <c:pt idx="31">
                  <c:v>24.41666667</c:v>
                </c:pt>
                <c:pt idx="32">
                  <c:v>24.66666667</c:v>
                </c:pt>
                <c:pt idx="33">
                  <c:v>24.66666667</c:v>
                </c:pt>
                <c:pt idx="34">
                  <c:v>25.25</c:v>
                </c:pt>
                <c:pt idx="35">
                  <c:v>26</c:v>
                </c:pt>
                <c:pt idx="36">
                  <c:v>27.33333333</c:v>
                </c:pt>
                <c:pt idx="37">
                  <c:v>27.41666667</c:v>
                </c:pt>
                <c:pt idx="38">
                  <c:v>27.75</c:v>
                </c:pt>
                <c:pt idx="39">
                  <c:v>28.25</c:v>
                </c:pt>
                <c:pt idx="40">
                  <c:v>29</c:v>
                </c:pt>
                <c:pt idx="41">
                  <c:v>29.58333333</c:v>
                </c:pt>
                <c:pt idx="42">
                  <c:v>30.08333333</c:v>
                </c:pt>
                <c:pt idx="43">
                  <c:v>30.16666667</c:v>
                </c:pt>
                <c:pt idx="44">
                  <c:v>30.33333333</c:v>
                </c:pt>
                <c:pt idx="45">
                  <c:v>30.58333333</c:v>
                </c:pt>
                <c:pt idx="46">
                  <c:v>30.66666667</c:v>
                </c:pt>
                <c:pt idx="47">
                  <c:v>30.83333333</c:v>
                </c:pt>
              </c:strCache>
            </c:strRef>
          </c:xVal>
          <c:yVal>
            <c:numRef>
              <c:f>T2_tmp!$AA$64:$AA$113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9.1666666666666619E-2</c:v>
                </c:pt>
                <c:pt idx="5">
                  <c:v>9.1666666666666619E-2</c:v>
                </c:pt>
                <c:pt idx="6">
                  <c:v>0.4124999999999997</c:v>
                </c:pt>
                <c:pt idx="7">
                  <c:v>1.0541666666666665</c:v>
                </c:pt>
                <c:pt idx="8">
                  <c:v>1.0541666666666665</c:v>
                </c:pt>
                <c:pt idx="9">
                  <c:v>1.0541666666666665</c:v>
                </c:pt>
                <c:pt idx="10">
                  <c:v>3.6875</c:v>
                </c:pt>
                <c:pt idx="11">
                  <c:v>3.6875</c:v>
                </c:pt>
                <c:pt idx="12">
                  <c:v>3.6875</c:v>
                </c:pt>
                <c:pt idx="13">
                  <c:v>3.6875</c:v>
                </c:pt>
                <c:pt idx="14">
                  <c:v>3.6875</c:v>
                </c:pt>
                <c:pt idx="15">
                  <c:v>4.1708333333333334</c:v>
                </c:pt>
                <c:pt idx="16">
                  <c:v>4.1708333333333334</c:v>
                </c:pt>
                <c:pt idx="17">
                  <c:v>4.1708333333333334</c:v>
                </c:pt>
                <c:pt idx="18">
                  <c:v>4.1708333333333334</c:v>
                </c:pt>
                <c:pt idx="19">
                  <c:v>5.8691666666666675</c:v>
                </c:pt>
                <c:pt idx="20">
                  <c:v>5.8691666666666675</c:v>
                </c:pt>
                <c:pt idx="21">
                  <c:v>5.8691666666666675</c:v>
                </c:pt>
                <c:pt idx="22">
                  <c:v>5.8691666666666675</c:v>
                </c:pt>
                <c:pt idx="23">
                  <c:v>5.8691666666666675</c:v>
                </c:pt>
                <c:pt idx="24">
                  <c:v>5.8691666666666675</c:v>
                </c:pt>
                <c:pt idx="25">
                  <c:v>6.0191666666666679</c:v>
                </c:pt>
                <c:pt idx="26">
                  <c:v>6.0775000000000015</c:v>
                </c:pt>
                <c:pt idx="27">
                  <c:v>7.3391666666666673</c:v>
                </c:pt>
                <c:pt idx="28">
                  <c:v>7.3391666666666673</c:v>
                </c:pt>
                <c:pt idx="29">
                  <c:v>7.3391666666666673</c:v>
                </c:pt>
                <c:pt idx="30">
                  <c:v>7.3391666666666673</c:v>
                </c:pt>
                <c:pt idx="31">
                  <c:v>7.3391666666666673</c:v>
                </c:pt>
                <c:pt idx="32">
                  <c:v>7.3391666666666673</c:v>
                </c:pt>
                <c:pt idx="33">
                  <c:v>7.3391666666666673</c:v>
                </c:pt>
                <c:pt idx="34">
                  <c:v>7.3391666666666673</c:v>
                </c:pt>
                <c:pt idx="35">
                  <c:v>7.3391666666666673</c:v>
                </c:pt>
                <c:pt idx="36">
                  <c:v>7.3391666666666673</c:v>
                </c:pt>
                <c:pt idx="37">
                  <c:v>13.243333333333331</c:v>
                </c:pt>
                <c:pt idx="38">
                  <c:v>13.243333333333331</c:v>
                </c:pt>
                <c:pt idx="39">
                  <c:v>13.243333333333331</c:v>
                </c:pt>
                <c:pt idx="40">
                  <c:v>13.243333333333331</c:v>
                </c:pt>
                <c:pt idx="41">
                  <c:v>13.243333333333331</c:v>
                </c:pt>
                <c:pt idx="42">
                  <c:v>13.243333333333331</c:v>
                </c:pt>
                <c:pt idx="43">
                  <c:v>13.243333333333331</c:v>
                </c:pt>
                <c:pt idx="44">
                  <c:v>13.313333333333331</c:v>
                </c:pt>
                <c:pt idx="45">
                  <c:v>13.313333333333331</c:v>
                </c:pt>
                <c:pt idx="46">
                  <c:v>13.313333333333331</c:v>
                </c:pt>
                <c:pt idx="47">
                  <c:v>13.313333333333331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F4-428D-ADE1-6BB293828B7D}"/>
            </c:ext>
          </c:extLst>
        </c:ser>
        <c:ser>
          <c:idx val="1"/>
          <c:order val="1"/>
          <c:tx>
            <c:strRef>
              <c:f>T2_tmp!$AB$3:$AB$63</c:f>
              <c:strCache>
                <c:ptCount val="6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T2_tmp!$Z$64:$Z$113</c:f>
              <c:strCache>
                <c:ptCount val="48"/>
                <c:pt idx="0">
                  <c:v>Dist</c:v>
                </c:pt>
                <c:pt idx="1">
                  <c:v>4</c:v>
                </c:pt>
                <c:pt idx="2">
                  <c:v>4.666666667</c:v>
                </c:pt>
                <c:pt idx="3">
                  <c:v>4.75</c:v>
                </c:pt>
                <c:pt idx="4">
                  <c:v>5.166666667</c:v>
                </c:pt>
                <c:pt idx="5">
                  <c:v>5.416666667</c:v>
                </c:pt>
                <c:pt idx="6">
                  <c:v>5.583333333</c:v>
                </c:pt>
                <c:pt idx="7">
                  <c:v>6.083333333</c:v>
                </c:pt>
                <c:pt idx="8">
                  <c:v>6.666666667</c:v>
                </c:pt>
                <c:pt idx="9">
                  <c:v>6.75</c:v>
                </c:pt>
                <c:pt idx="10">
                  <c:v>8.416666667</c:v>
                </c:pt>
                <c:pt idx="11">
                  <c:v>8.666666667</c:v>
                </c:pt>
                <c:pt idx="12">
                  <c:v>9.5</c:v>
                </c:pt>
                <c:pt idx="13">
                  <c:v>9.666666667</c:v>
                </c:pt>
                <c:pt idx="14">
                  <c:v>11.08333333</c:v>
                </c:pt>
                <c:pt idx="15">
                  <c:v>11.16666667</c:v>
                </c:pt>
                <c:pt idx="16">
                  <c:v>12</c:v>
                </c:pt>
                <c:pt idx="17">
                  <c:v>12.16666667</c:v>
                </c:pt>
                <c:pt idx="18">
                  <c:v>12.25</c:v>
                </c:pt>
                <c:pt idx="19">
                  <c:v>13.08333333</c:v>
                </c:pt>
                <c:pt idx="20">
                  <c:v>13.16666667</c:v>
                </c:pt>
                <c:pt idx="21">
                  <c:v>13.66666667</c:v>
                </c:pt>
                <c:pt idx="22">
                  <c:v>13.83333333</c:v>
                </c:pt>
                <c:pt idx="23">
                  <c:v>18.75</c:v>
                </c:pt>
                <c:pt idx="24">
                  <c:v>20.16666667</c:v>
                </c:pt>
                <c:pt idx="25">
                  <c:v>20.25</c:v>
                </c:pt>
                <c:pt idx="26">
                  <c:v>20.41666667</c:v>
                </c:pt>
                <c:pt idx="27">
                  <c:v>21.41666667</c:v>
                </c:pt>
                <c:pt idx="28">
                  <c:v>21.5</c:v>
                </c:pt>
                <c:pt idx="29">
                  <c:v>22.25</c:v>
                </c:pt>
                <c:pt idx="30">
                  <c:v>22.83333333</c:v>
                </c:pt>
                <c:pt idx="31">
                  <c:v>24.41666667</c:v>
                </c:pt>
                <c:pt idx="32">
                  <c:v>24.66666667</c:v>
                </c:pt>
                <c:pt idx="33">
                  <c:v>24.66666667</c:v>
                </c:pt>
                <c:pt idx="34">
                  <c:v>25.25</c:v>
                </c:pt>
                <c:pt idx="35">
                  <c:v>26</c:v>
                </c:pt>
                <c:pt idx="36">
                  <c:v>27.33333333</c:v>
                </c:pt>
                <c:pt idx="37">
                  <c:v>27.41666667</c:v>
                </c:pt>
                <c:pt idx="38">
                  <c:v>27.75</c:v>
                </c:pt>
                <c:pt idx="39">
                  <c:v>28.25</c:v>
                </c:pt>
                <c:pt idx="40">
                  <c:v>29</c:v>
                </c:pt>
                <c:pt idx="41">
                  <c:v>29.58333333</c:v>
                </c:pt>
                <c:pt idx="42">
                  <c:v>30.08333333</c:v>
                </c:pt>
                <c:pt idx="43">
                  <c:v>30.16666667</c:v>
                </c:pt>
                <c:pt idx="44">
                  <c:v>30.33333333</c:v>
                </c:pt>
                <c:pt idx="45">
                  <c:v>30.58333333</c:v>
                </c:pt>
                <c:pt idx="46">
                  <c:v>30.66666667</c:v>
                </c:pt>
                <c:pt idx="47">
                  <c:v>30.83333333</c:v>
                </c:pt>
              </c:strCache>
            </c:strRef>
          </c:xVal>
          <c:yVal>
            <c:numRef>
              <c:f>T2_tmp!$AB$64:$AB$113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7.5000000000000011E-2</c:v>
                </c:pt>
                <c:pt idx="4">
                  <c:v>7.5000000000000011E-2</c:v>
                </c:pt>
                <c:pt idx="5">
                  <c:v>1.1858333333333335</c:v>
                </c:pt>
                <c:pt idx="6">
                  <c:v>1.1858333333333335</c:v>
                </c:pt>
                <c:pt idx="7">
                  <c:v>1.1858333333333335</c:v>
                </c:pt>
                <c:pt idx="8">
                  <c:v>2.5183333333333331</c:v>
                </c:pt>
                <c:pt idx="9">
                  <c:v>2.5183333333333331</c:v>
                </c:pt>
                <c:pt idx="10">
                  <c:v>2.5183333333333331</c:v>
                </c:pt>
                <c:pt idx="11">
                  <c:v>5.2183333333333328</c:v>
                </c:pt>
                <c:pt idx="12">
                  <c:v>5.2183333333333328</c:v>
                </c:pt>
                <c:pt idx="13">
                  <c:v>5.2183333333333328</c:v>
                </c:pt>
                <c:pt idx="14">
                  <c:v>5.918333333333333</c:v>
                </c:pt>
                <c:pt idx="15">
                  <c:v>5.918333333333333</c:v>
                </c:pt>
                <c:pt idx="16">
                  <c:v>5.918333333333333</c:v>
                </c:pt>
                <c:pt idx="17">
                  <c:v>5.918333333333333</c:v>
                </c:pt>
                <c:pt idx="18">
                  <c:v>5.918333333333333</c:v>
                </c:pt>
                <c:pt idx="19">
                  <c:v>5.918333333333333</c:v>
                </c:pt>
                <c:pt idx="20">
                  <c:v>7.251666666666666</c:v>
                </c:pt>
                <c:pt idx="21">
                  <c:v>7.251666666666666</c:v>
                </c:pt>
                <c:pt idx="22">
                  <c:v>7.251666666666666</c:v>
                </c:pt>
                <c:pt idx="23">
                  <c:v>7.251666666666666</c:v>
                </c:pt>
                <c:pt idx="24">
                  <c:v>7.251666666666666</c:v>
                </c:pt>
                <c:pt idx="25">
                  <c:v>7.251666666666666</c:v>
                </c:pt>
                <c:pt idx="26">
                  <c:v>7.251666666666666</c:v>
                </c:pt>
                <c:pt idx="27">
                  <c:v>7.251666666666666</c:v>
                </c:pt>
                <c:pt idx="28">
                  <c:v>8.7099999999999991</c:v>
                </c:pt>
                <c:pt idx="29">
                  <c:v>8.7099999999999991</c:v>
                </c:pt>
                <c:pt idx="30">
                  <c:v>8.7099999999999991</c:v>
                </c:pt>
                <c:pt idx="31">
                  <c:v>8.7099999999999991</c:v>
                </c:pt>
                <c:pt idx="32">
                  <c:v>8.7099999999999991</c:v>
                </c:pt>
                <c:pt idx="33">
                  <c:v>8.7099999999999991</c:v>
                </c:pt>
                <c:pt idx="34">
                  <c:v>10.293333333333331</c:v>
                </c:pt>
                <c:pt idx="35">
                  <c:v>10.293333333333331</c:v>
                </c:pt>
                <c:pt idx="36">
                  <c:v>10.293333333333331</c:v>
                </c:pt>
                <c:pt idx="37">
                  <c:v>10.293333333333331</c:v>
                </c:pt>
                <c:pt idx="38">
                  <c:v>11.209999999999999</c:v>
                </c:pt>
                <c:pt idx="39">
                  <c:v>11.209999999999999</c:v>
                </c:pt>
                <c:pt idx="40">
                  <c:v>11.209999999999999</c:v>
                </c:pt>
                <c:pt idx="41">
                  <c:v>11.209999999999999</c:v>
                </c:pt>
                <c:pt idx="42">
                  <c:v>11.209999999999999</c:v>
                </c:pt>
                <c:pt idx="43">
                  <c:v>11.547499999999999</c:v>
                </c:pt>
                <c:pt idx="44">
                  <c:v>11.547499999999999</c:v>
                </c:pt>
                <c:pt idx="45">
                  <c:v>11.547499999999999</c:v>
                </c:pt>
                <c:pt idx="46">
                  <c:v>11.547499999999999</c:v>
                </c:pt>
                <c:pt idx="47">
                  <c:v>11.547499999999999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F4-428D-ADE1-6BB293828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793344"/>
        <c:axId val="640793672"/>
      </c:scatterChart>
      <c:valAx>
        <c:axId val="64079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793672"/>
        <c:crosses val="autoZero"/>
        <c:crossBetween val="midCat"/>
      </c:valAx>
      <c:valAx>
        <c:axId val="6407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79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Transect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Substrate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T1M!$AI$2:$AI$162</c:f>
              <c:numCache>
                <c:formatCode>General</c:formatCode>
                <c:ptCount val="161"/>
                <c:pt idx="0">
                  <c:v>12</c:v>
                </c:pt>
                <c:pt idx="1">
                  <c:v>22.916666666666668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25.333333333333332</c:v>
                </c:pt>
                <c:pt idx="6">
                  <c:v>26.583333333333332</c:v>
                </c:pt>
                <c:pt idx="7">
                  <c:v>27.291666666666668</c:v>
                </c:pt>
                <c:pt idx="8">
                  <c:v>27.75</c:v>
                </c:pt>
                <c:pt idx="9">
                  <c:v>30</c:v>
                </c:pt>
                <c:pt idx="10">
                  <c:v>30.083333333333332</c:v>
                </c:pt>
                <c:pt idx="11">
                  <c:v>31</c:v>
                </c:pt>
                <c:pt idx="12">
                  <c:v>34.5</c:v>
                </c:pt>
                <c:pt idx="13">
                  <c:v>35.166666666666664</c:v>
                </c:pt>
                <c:pt idx="14">
                  <c:v>37.083333333333336</c:v>
                </c:pt>
                <c:pt idx="15">
                  <c:v>37.333333333333336</c:v>
                </c:pt>
                <c:pt idx="16">
                  <c:v>40</c:v>
                </c:pt>
                <c:pt idx="17">
                  <c:v>41.333333333333336</c:v>
                </c:pt>
                <c:pt idx="18">
                  <c:v>43.416666666666664</c:v>
                </c:pt>
                <c:pt idx="19">
                  <c:v>43.75</c:v>
                </c:pt>
                <c:pt idx="20">
                  <c:v>44</c:v>
                </c:pt>
                <c:pt idx="21">
                  <c:v>46.083333333333336</c:v>
                </c:pt>
                <c:pt idx="22">
                  <c:v>48</c:v>
                </c:pt>
                <c:pt idx="23">
                  <c:v>49.333333333333336</c:v>
                </c:pt>
                <c:pt idx="24">
                  <c:v>49.416666666666664</c:v>
                </c:pt>
                <c:pt idx="25">
                  <c:v>52</c:v>
                </c:pt>
                <c:pt idx="26">
                  <c:v>53</c:v>
                </c:pt>
                <c:pt idx="27">
                  <c:v>53.583333333333336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55.583333333333336</c:v>
                </c:pt>
                <c:pt idx="32">
                  <c:v>55.75</c:v>
                </c:pt>
                <c:pt idx="33">
                  <c:v>56.833333333333336</c:v>
                </c:pt>
                <c:pt idx="34">
                  <c:v>57</c:v>
                </c:pt>
                <c:pt idx="35">
                  <c:v>57.333333333333336</c:v>
                </c:pt>
                <c:pt idx="36">
                  <c:v>57.416666666666664</c:v>
                </c:pt>
                <c:pt idx="37">
                  <c:v>60.583333333333336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62.666666666666664</c:v>
                </c:pt>
                <c:pt idx="42">
                  <c:v>64.083333333333329</c:v>
                </c:pt>
                <c:pt idx="43">
                  <c:v>67.916666666666671</c:v>
                </c:pt>
              </c:numCache>
            </c:numRef>
          </c:xVal>
          <c:yVal>
            <c:numRef>
              <c:f>T1M!$AJ$2:$AJ$162</c:f>
              <c:numCache>
                <c:formatCode>General</c:formatCode>
                <c:ptCount val="161"/>
                <c:pt idx="0">
                  <c:v>146.77780000000001</c:v>
                </c:pt>
                <c:pt idx="1">
                  <c:v>145.8878</c:v>
                </c:pt>
                <c:pt idx="2">
                  <c:v>144.5078</c:v>
                </c:pt>
                <c:pt idx="3">
                  <c:v>144.49407659574467</c:v>
                </c:pt>
                <c:pt idx="4">
                  <c:v>144.32939574468085</c:v>
                </c:pt>
                <c:pt idx="5">
                  <c:v>144.29280000000003</c:v>
                </c:pt>
                <c:pt idx="6">
                  <c:v>144.15556595744684</c:v>
                </c:pt>
                <c:pt idx="7">
                  <c:v>144.07780000000002</c:v>
                </c:pt>
                <c:pt idx="8">
                  <c:v>144.11556119402988</c:v>
                </c:pt>
                <c:pt idx="9">
                  <c:v>144.30093432835821</c:v>
                </c:pt>
                <c:pt idx="10">
                  <c:v>144.30780000000001</c:v>
                </c:pt>
                <c:pt idx="11">
                  <c:v>144.35584597701151</c:v>
                </c:pt>
                <c:pt idx="12">
                  <c:v>144.53929425287359</c:v>
                </c:pt>
                <c:pt idx="13">
                  <c:v>144.57423678160922</c:v>
                </c:pt>
                <c:pt idx="14">
                  <c:v>144.67469655172414</c:v>
                </c:pt>
                <c:pt idx="15">
                  <c:v>144.68780000000001</c:v>
                </c:pt>
                <c:pt idx="16">
                  <c:v>144.60468311688314</c:v>
                </c:pt>
                <c:pt idx="17">
                  <c:v>144.5631246753247</c:v>
                </c:pt>
                <c:pt idx="18">
                  <c:v>144.49818961038963</c:v>
                </c:pt>
                <c:pt idx="19">
                  <c:v>144.48780000000002</c:v>
                </c:pt>
                <c:pt idx="20">
                  <c:v>144.50123283582093</c:v>
                </c:pt>
                <c:pt idx="21">
                  <c:v>144.61317313432838</c:v>
                </c:pt>
                <c:pt idx="22">
                  <c:v>144.71615820895522</c:v>
                </c:pt>
                <c:pt idx="23">
                  <c:v>144.7878</c:v>
                </c:pt>
                <c:pt idx="24">
                  <c:v>144.78101428571429</c:v>
                </c:pt>
                <c:pt idx="25">
                  <c:v>144.57065714285716</c:v>
                </c:pt>
                <c:pt idx="26">
                  <c:v>144.48922857142858</c:v>
                </c:pt>
                <c:pt idx="27">
                  <c:v>144.44172857142857</c:v>
                </c:pt>
                <c:pt idx="28">
                  <c:v>144.40780000000001</c:v>
                </c:pt>
                <c:pt idx="29">
                  <c:v>144.28148421052632</c:v>
                </c:pt>
                <c:pt idx="30">
                  <c:v>144.25622105263159</c:v>
                </c:pt>
                <c:pt idx="31">
                  <c:v>144.24780000000001</c:v>
                </c:pt>
                <c:pt idx="32">
                  <c:v>144.35446666666667</c:v>
                </c:pt>
                <c:pt idx="33">
                  <c:v>145.04780000000002</c:v>
                </c:pt>
                <c:pt idx="34">
                  <c:v>144.80113333333335</c:v>
                </c:pt>
                <c:pt idx="35">
                  <c:v>144.30780000000001</c:v>
                </c:pt>
                <c:pt idx="36">
                  <c:v>144.32780000000002</c:v>
                </c:pt>
                <c:pt idx="37">
                  <c:v>145.08780000000002</c:v>
                </c:pt>
                <c:pt idx="38">
                  <c:v>145.31280000000001</c:v>
                </c:pt>
                <c:pt idx="39">
                  <c:v>145.4478</c:v>
                </c:pt>
                <c:pt idx="40">
                  <c:v>145.4478</c:v>
                </c:pt>
                <c:pt idx="41">
                  <c:v>146.01780000000002</c:v>
                </c:pt>
                <c:pt idx="42">
                  <c:v>146.56780000000001</c:v>
                </c:pt>
                <c:pt idx="43">
                  <c:v>147.49780000000001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FA-4DEE-B596-12A2C4F86F05}"/>
            </c:ext>
          </c:extLst>
        </c:ser>
        <c:ser>
          <c:idx val="1"/>
          <c:order val="1"/>
          <c:tx>
            <c:v>Flow 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T1M!$AI$2:$AI$162</c:f>
              <c:numCache>
                <c:formatCode>General</c:formatCode>
                <c:ptCount val="161"/>
                <c:pt idx="0">
                  <c:v>12</c:v>
                </c:pt>
                <c:pt idx="1">
                  <c:v>22.916666666666668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25.333333333333332</c:v>
                </c:pt>
                <c:pt idx="6">
                  <c:v>26.583333333333332</c:v>
                </c:pt>
                <c:pt idx="7">
                  <c:v>27.291666666666668</c:v>
                </c:pt>
                <c:pt idx="8">
                  <c:v>27.75</c:v>
                </c:pt>
                <c:pt idx="9">
                  <c:v>30</c:v>
                </c:pt>
                <c:pt idx="10">
                  <c:v>30.083333333333332</c:v>
                </c:pt>
                <c:pt idx="11">
                  <c:v>31</c:v>
                </c:pt>
                <c:pt idx="12">
                  <c:v>34.5</c:v>
                </c:pt>
                <c:pt idx="13">
                  <c:v>35.166666666666664</c:v>
                </c:pt>
                <c:pt idx="14">
                  <c:v>37.083333333333336</c:v>
                </c:pt>
                <c:pt idx="15">
                  <c:v>37.333333333333336</c:v>
                </c:pt>
                <c:pt idx="16">
                  <c:v>40</c:v>
                </c:pt>
                <c:pt idx="17">
                  <c:v>41.333333333333336</c:v>
                </c:pt>
                <c:pt idx="18">
                  <c:v>43.416666666666664</c:v>
                </c:pt>
                <c:pt idx="19">
                  <c:v>43.75</c:v>
                </c:pt>
                <c:pt idx="20">
                  <c:v>44</c:v>
                </c:pt>
                <c:pt idx="21">
                  <c:v>46.083333333333336</c:v>
                </c:pt>
                <c:pt idx="22">
                  <c:v>48</c:v>
                </c:pt>
                <c:pt idx="23">
                  <c:v>49.333333333333336</c:v>
                </c:pt>
                <c:pt idx="24">
                  <c:v>49.416666666666664</c:v>
                </c:pt>
                <c:pt idx="25">
                  <c:v>52</c:v>
                </c:pt>
                <c:pt idx="26">
                  <c:v>53</c:v>
                </c:pt>
                <c:pt idx="27">
                  <c:v>53.583333333333336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55.583333333333336</c:v>
                </c:pt>
                <c:pt idx="32">
                  <c:v>55.75</c:v>
                </c:pt>
                <c:pt idx="33">
                  <c:v>56.833333333333336</c:v>
                </c:pt>
                <c:pt idx="34">
                  <c:v>57</c:v>
                </c:pt>
                <c:pt idx="35">
                  <c:v>57.333333333333336</c:v>
                </c:pt>
                <c:pt idx="36">
                  <c:v>57.416666666666664</c:v>
                </c:pt>
                <c:pt idx="37">
                  <c:v>60.583333333333336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62.666666666666664</c:v>
                </c:pt>
                <c:pt idx="42">
                  <c:v>64.083333333333329</c:v>
                </c:pt>
                <c:pt idx="43">
                  <c:v>67.916666666666671</c:v>
                </c:pt>
              </c:numCache>
            </c:numRef>
          </c:xVal>
          <c:yVal>
            <c:numRef>
              <c:f>T1M!$AK$2:$AK$162</c:f>
              <c:numCache>
                <c:formatCode>General</c:formatCode>
                <c:ptCount val="161"/>
                <c:pt idx="2">
                  <c:v>145.10130000000001</c:v>
                </c:pt>
                <c:pt idx="3">
                  <c:v>145.10130000000001</c:v>
                </c:pt>
                <c:pt idx="4">
                  <c:v>145.10130000000001</c:v>
                </c:pt>
                <c:pt idx="5">
                  <c:v>145.10130000000001</c:v>
                </c:pt>
                <c:pt idx="6">
                  <c:v>145.10130000000001</c:v>
                </c:pt>
                <c:pt idx="7">
                  <c:v>145.10130000000001</c:v>
                </c:pt>
                <c:pt idx="8">
                  <c:v>145.10130000000001</c:v>
                </c:pt>
                <c:pt idx="9">
                  <c:v>145.10130000000001</c:v>
                </c:pt>
                <c:pt idx="10">
                  <c:v>145.10130000000001</c:v>
                </c:pt>
                <c:pt idx="11">
                  <c:v>145.10130000000001</c:v>
                </c:pt>
                <c:pt idx="12">
                  <c:v>145.10130000000001</c:v>
                </c:pt>
                <c:pt idx="13">
                  <c:v>145.10130000000001</c:v>
                </c:pt>
                <c:pt idx="14">
                  <c:v>145.10130000000001</c:v>
                </c:pt>
                <c:pt idx="15">
                  <c:v>145.10130000000001</c:v>
                </c:pt>
                <c:pt idx="16">
                  <c:v>145.10130000000001</c:v>
                </c:pt>
                <c:pt idx="17">
                  <c:v>145.10130000000001</c:v>
                </c:pt>
                <c:pt idx="18">
                  <c:v>145.10130000000001</c:v>
                </c:pt>
                <c:pt idx="19">
                  <c:v>145.10130000000001</c:v>
                </c:pt>
                <c:pt idx="20">
                  <c:v>145.10130000000001</c:v>
                </c:pt>
                <c:pt idx="21">
                  <c:v>145.10130000000001</c:v>
                </c:pt>
                <c:pt idx="22">
                  <c:v>145.10130000000001</c:v>
                </c:pt>
                <c:pt idx="23">
                  <c:v>145.10130000000001</c:v>
                </c:pt>
                <c:pt idx="24">
                  <c:v>145.10130000000001</c:v>
                </c:pt>
                <c:pt idx="25">
                  <c:v>145.10130000000001</c:v>
                </c:pt>
                <c:pt idx="26">
                  <c:v>145.10130000000001</c:v>
                </c:pt>
                <c:pt idx="27">
                  <c:v>145.10130000000001</c:v>
                </c:pt>
                <c:pt idx="28">
                  <c:v>145.10130000000001</c:v>
                </c:pt>
                <c:pt idx="29">
                  <c:v>145.10130000000001</c:v>
                </c:pt>
                <c:pt idx="30">
                  <c:v>145.10130000000001</c:v>
                </c:pt>
                <c:pt idx="31">
                  <c:v>145.10130000000001</c:v>
                </c:pt>
                <c:pt idx="32">
                  <c:v>145.10130000000001</c:v>
                </c:pt>
                <c:pt idx="33">
                  <c:v>145.10130000000001</c:v>
                </c:pt>
                <c:pt idx="34">
                  <c:v>145.10130000000001</c:v>
                </c:pt>
                <c:pt idx="35">
                  <c:v>145.10130000000001</c:v>
                </c:pt>
                <c:pt idx="36">
                  <c:v>145.10130000000001</c:v>
                </c:pt>
                <c:pt idx="37">
                  <c:v>145.10130000000001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FA-4DEE-B596-12A2C4F86F05}"/>
            </c:ext>
          </c:extLst>
        </c:ser>
        <c:ser>
          <c:idx val="2"/>
          <c:order val="2"/>
          <c:tx>
            <c:v>Flow 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T1M!$AI$2:$AI$162</c:f>
              <c:numCache>
                <c:formatCode>General</c:formatCode>
                <c:ptCount val="161"/>
                <c:pt idx="0">
                  <c:v>12</c:v>
                </c:pt>
                <c:pt idx="1">
                  <c:v>22.916666666666668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25.333333333333332</c:v>
                </c:pt>
                <c:pt idx="6">
                  <c:v>26.583333333333332</c:v>
                </c:pt>
                <c:pt idx="7">
                  <c:v>27.291666666666668</c:v>
                </c:pt>
                <c:pt idx="8">
                  <c:v>27.75</c:v>
                </c:pt>
                <c:pt idx="9">
                  <c:v>30</c:v>
                </c:pt>
                <c:pt idx="10">
                  <c:v>30.083333333333332</c:v>
                </c:pt>
                <c:pt idx="11">
                  <c:v>31</c:v>
                </c:pt>
                <c:pt idx="12">
                  <c:v>34.5</c:v>
                </c:pt>
                <c:pt idx="13">
                  <c:v>35.166666666666664</c:v>
                </c:pt>
                <c:pt idx="14">
                  <c:v>37.083333333333336</c:v>
                </c:pt>
                <c:pt idx="15">
                  <c:v>37.333333333333336</c:v>
                </c:pt>
                <c:pt idx="16">
                  <c:v>40</c:v>
                </c:pt>
                <c:pt idx="17">
                  <c:v>41.333333333333336</c:v>
                </c:pt>
                <c:pt idx="18">
                  <c:v>43.416666666666664</c:v>
                </c:pt>
                <c:pt idx="19">
                  <c:v>43.75</c:v>
                </c:pt>
                <c:pt idx="20">
                  <c:v>44</c:v>
                </c:pt>
                <c:pt idx="21">
                  <c:v>46.083333333333336</c:v>
                </c:pt>
                <c:pt idx="22">
                  <c:v>48</c:v>
                </c:pt>
                <c:pt idx="23">
                  <c:v>49.333333333333336</c:v>
                </c:pt>
                <c:pt idx="24">
                  <c:v>49.416666666666664</c:v>
                </c:pt>
                <c:pt idx="25">
                  <c:v>52</c:v>
                </c:pt>
                <c:pt idx="26">
                  <c:v>53</c:v>
                </c:pt>
                <c:pt idx="27">
                  <c:v>53.583333333333336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55.583333333333336</c:v>
                </c:pt>
                <c:pt idx="32">
                  <c:v>55.75</c:v>
                </c:pt>
                <c:pt idx="33">
                  <c:v>56.833333333333336</c:v>
                </c:pt>
                <c:pt idx="34">
                  <c:v>57</c:v>
                </c:pt>
                <c:pt idx="35">
                  <c:v>57.333333333333336</c:v>
                </c:pt>
                <c:pt idx="36">
                  <c:v>57.416666666666664</c:v>
                </c:pt>
                <c:pt idx="37">
                  <c:v>60.583333333333336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62.666666666666664</c:v>
                </c:pt>
                <c:pt idx="42">
                  <c:v>64.083333333333329</c:v>
                </c:pt>
                <c:pt idx="43">
                  <c:v>67.916666666666671</c:v>
                </c:pt>
              </c:numCache>
            </c:numRef>
          </c:xVal>
          <c:yVal>
            <c:numRef>
              <c:f>T1M!$AL$2:$AL$162</c:f>
              <c:numCache>
                <c:formatCode>General</c:formatCode>
                <c:ptCount val="161"/>
                <c:pt idx="1">
                  <c:v>145.3818</c:v>
                </c:pt>
                <c:pt idx="2">
                  <c:v>145.3818</c:v>
                </c:pt>
                <c:pt idx="3">
                  <c:v>145.3818</c:v>
                </c:pt>
                <c:pt idx="4">
                  <c:v>145.3818</c:v>
                </c:pt>
                <c:pt idx="5">
                  <c:v>145.3818</c:v>
                </c:pt>
                <c:pt idx="6">
                  <c:v>145.3818</c:v>
                </c:pt>
                <c:pt idx="7">
                  <c:v>145.3818</c:v>
                </c:pt>
                <c:pt idx="8">
                  <c:v>145.3818</c:v>
                </c:pt>
                <c:pt idx="9">
                  <c:v>145.3818</c:v>
                </c:pt>
                <c:pt idx="10">
                  <c:v>145.3818</c:v>
                </c:pt>
                <c:pt idx="11">
                  <c:v>145.3818</c:v>
                </c:pt>
                <c:pt idx="12">
                  <c:v>145.3818</c:v>
                </c:pt>
                <c:pt idx="13">
                  <c:v>145.3818</c:v>
                </c:pt>
                <c:pt idx="14">
                  <c:v>145.3818</c:v>
                </c:pt>
                <c:pt idx="15">
                  <c:v>145.3818</c:v>
                </c:pt>
                <c:pt idx="16">
                  <c:v>145.3818</c:v>
                </c:pt>
                <c:pt idx="17">
                  <c:v>145.3818</c:v>
                </c:pt>
                <c:pt idx="18">
                  <c:v>145.3818</c:v>
                </c:pt>
                <c:pt idx="19">
                  <c:v>145.3818</c:v>
                </c:pt>
                <c:pt idx="20">
                  <c:v>145.3818</c:v>
                </c:pt>
                <c:pt idx="21">
                  <c:v>145.3818</c:v>
                </c:pt>
                <c:pt idx="22">
                  <c:v>145.3818</c:v>
                </c:pt>
                <c:pt idx="23">
                  <c:v>145.3818</c:v>
                </c:pt>
                <c:pt idx="24">
                  <c:v>145.3818</c:v>
                </c:pt>
                <c:pt idx="25">
                  <c:v>145.3818</c:v>
                </c:pt>
                <c:pt idx="26">
                  <c:v>145.3818</c:v>
                </c:pt>
                <c:pt idx="27">
                  <c:v>145.3818</c:v>
                </c:pt>
                <c:pt idx="28">
                  <c:v>145.3818</c:v>
                </c:pt>
                <c:pt idx="29">
                  <c:v>145.3818</c:v>
                </c:pt>
                <c:pt idx="30">
                  <c:v>145.3818</c:v>
                </c:pt>
                <c:pt idx="31">
                  <c:v>145.3818</c:v>
                </c:pt>
                <c:pt idx="32">
                  <c:v>145.3818</c:v>
                </c:pt>
                <c:pt idx="33">
                  <c:v>145.3818</c:v>
                </c:pt>
                <c:pt idx="34">
                  <c:v>145.3818</c:v>
                </c:pt>
                <c:pt idx="35">
                  <c:v>145.3818</c:v>
                </c:pt>
                <c:pt idx="36">
                  <c:v>145.3818</c:v>
                </c:pt>
                <c:pt idx="37">
                  <c:v>145.3818</c:v>
                </c:pt>
                <c:pt idx="38">
                  <c:v>145.3818</c:v>
                </c:pt>
                <c:pt idx="39">
                  <c:v>145.3818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FA-4DEE-B596-12A2C4F86F05}"/>
            </c:ext>
          </c:extLst>
        </c:ser>
        <c:ser>
          <c:idx val="3"/>
          <c:order val="3"/>
          <c:tx>
            <c:v>Flow 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T1M!$AI$2:$AI$162</c:f>
              <c:numCache>
                <c:formatCode>General</c:formatCode>
                <c:ptCount val="161"/>
                <c:pt idx="0">
                  <c:v>12</c:v>
                </c:pt>
                <c:pt idx="1">
                  <c:v>22.916666666666668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25.333333333333332</c:v>
                </c:pt>
                <c:pt idx="6">
                  <c:v>26.583333333333332</c:v>
                </c:pt>
                <c:pt idx="7">
                  <c:v>27.291666666666668</c:v>
                </c:pt>
                <c:pt idx="8">
                  <c:v>27.75</c:v>
                </c:pt>
                <c:pt idx="9">
                  <c:v>30</c:v>
                </c:pt>
                <c:pt idx="10">
                  <c:v>30.083333333333332</c:v>
                </c:pt>
                <c:pt idx="11">
                  <c:v>31</c:v>
                </c:pt>
                <c:pt idx="12">
                  <c:v>34.5</c:v>
                </c:pt>
                <c:pt idx="13">
                  <c:v>35.166666666666664</c:v>
                </c:pt>
                <c:pt idx="14">
                  <c:v>37.083333333333336</c:v>
                </c:pt>
                <c:pt idx="15">
                  <c:v>37.333333333333336</c:v>
                </c:pt>
                <c:pt idx="16">
                  <c:v>40</c:v>
                </c:pt>
                <c:pt idx="17">
                  <c:v>41.333333333333336</c:v>
                </c:pt>
                <c:pt idx="18">
                  <c:v>43.416666666666664</c:v>
                </c:pt>
                <c:pt idx="19">
                  <c:v>43.75</c:v>
                </c:pt>
                <c:pt idx="20">
                  <c:v>44</c:v>
                </c:pt>
                <c:pt idx="21">
                  <c:v>46.083333333333336</c:v>
                </c:pt>
                <c:pt idx="22">
                  <c:v>48</c:v>
                </c:pt>
                <c:pt idx="23">
                  <c:v>49.333333333333336</c:v>
                </c:pt>
                <c:pt idx="24">
                  <c:v>49.416666666666664</c:v>
                </c:pt>
                <c:pt idx="25">
                  <c:v>52</c:v>
                </c:pt>
                <c:pt idx="26">
                  <c:v>53</c:v>
                </c:pt>
                <c:pt idx="27">
                  <c:v>53.583333333333336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55.583333333333336</c:v>
                </c:pt>
                <c:pt idx="32">
                  <c:v>55.75</c:v>
                </c:pt>
                <c:pt idx="33">
                  <c:v>56.833333333333336</c:v>
                </c:pt>
                <c:pt idx="34">
                  <c:v>57</c:v>
                </c:pt>
                <c:pt idx="35">
                  <c:v>57.333333333333336</c:v>
                </c:pt>
                <c:pt idx="36">
                  <c:v>57.416666666666664</c:v>
                </c:pt>
                <c:pt idx="37">
                  <c:v>60.583333333333336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62.666666666666664</c:v>
                </c:pt>
                <c:pt idx="42">
                  <c:v>64.083333333333329</c:v>
                </c:pt>
                <c:pt idx="43">
                  <c:v>67.916666666666671</c:v>
                </c:pt>
              </c:numCache>
            </c:numRef>
          </c:xVal>
          <c:yVal>
            <c:numRef>
              <c:f>T1M!$AM$2:$AM$162</c:f>
              <c:numCache>
                <c:formatCode>General</c:formatCode>
                <c:ptCount val="161"/>
                <c:pt idx="1">
                  <c:v>145.49870000000001</c:v>
                </c:pt>
                <c:pt idx="2">
                  <c:v>145.49870000000001</c:v>
                </c:pt>
                <c:pt idx="3">
                  <c:v>145.49870000000001</c:v>
                </c:pt>
                <c:pt idx="4">
                  <c:v>145.49870000000001</c:v>
                </c:pt>
                <c:pt idx="5">
                  <c:v>145.49870000000001</c:v>
                </c:pt>
                <c:pt idx="6">
                  <c:v>145.49870000000001</c:v>
                </c:pt>
                <c:pt idx="7">
                  <c:v>145.49870000000001</c:v>
                </c:pt>
                <c:pt idx="8">
                  <c:v>145.49870000000001</c:v>
                </c:pt>
                <c:pt idx="9">
                  <c:v>145.49870000000001</c:v>
                </c:pt>
                <c:pt idx="10">
                  <c:v>145.49870000000001</c:v>
                </c:pt>
                <c:pt idx="11">
                  <c:v>145.49870000000001</c:v>
                </c:pt>
                <c:pt idx="12">
                  <c:v>145.49870000000001</c:v>
                </c:pt>
                <c:pt idx="13">
                  <c:v>145.49870000000001</c:v>
                </c:pt>
                <c:pt idx="14">
                  <c:v>145.49870000000001</c:v>
                </c:pt>
                <c:pt idx="15">
                  <c:v>145.49870000000001</c:v>
                </c:pt>
                <c:pt idx="16">
                  <c:v>145.49870000000001</c:v>
                </c:pt>
                <c:pt idx="17">
                  <c:v>145.49870000000001</c:v>
                </c:pt>
                <c:pt idx="18">
                  <c:v>145.49870000000001</c:v>
                </c:pt>
                <c:pt idx="19">
                  <c:v>145.49870000000001</c:v>
                </c:pt>
                <c:pt idx="20">
                  <c:v>145.49870000000001</c:v>
                </c:pt>
                <c:pt idx="21">
                  <c:v>145.49870000000001</c:v>
                </c:pt>
                <c:pt idx="22">
                  <c:v>145.49870000000001</c:v>
                </c:pt>
                <c:pt idx="23">
                  <c:v>145.49870000000001</c:v>
                </c:pt>
                <c:pt idx="24">
                  <c:v>145.49870000000001</c:v>
                </c:pt>
                <c:pt idx="25">
                  <c:v>145.49870000000001</c:v>
                </c:pt>
                <c:pt idx="26">
                  <c:v>145.49870000000001</c:v>
                </c:pt>
                <c:pt idx="27">
                  <c:v>145.49870000000001</c:v>
                </c:pt>
                <c:pt idx="28">
                  <c:v>145.49870000000001</c:v>
                </c:pt>
                <c:pt idx="29">
                  <c:v>145.49870000000001</c:v>
                </c:pt>
                <c:pt idx="30">
                  <c:v>145.49870000000001</c:v>
                </c:pt>
                <c:pt idx="31">
                  <c:v>145.49870000000001</c:v>
                </c:pt>
                <c:pt idx="32">
                  <c:v>145.49870000000001</c:v>
                </c:pt>
                <c:pt idx="33">
                  <c:v>145.49870000000001</c:v>
                </c:pt>
                <c:pt idx="34">
                  <c:v>145.49870000000001</c:v>
                </c:pt>
                <c:pt idx="35">
                  <c:v>145.49870000000001</c:v>
                </c:pt>
                <c:pt idx="36">
                  <c:v>145.49870000000001</c:v>
                </c:pt>
                <c:pt idx="37">
                  <c:v>145.49870000000001</c:v>
                </c:pt>
                <c:pt idx="38">
                  <c:v>145.49870000000001</c:v>
                </c:pt>
                <c:pt idx="39">
                  <c:v>145.49870000000001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FA-4DEE-B596-12A2C4F86F05}"/>
            </c:ext>
          </c:extLst>
        </c:ser>
        <c:ser>
          <c:idx val="4"/>
          <c:order val="4"/>
          <c:tx>
            <c:v>Flow 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T1M!$AI$2:$AI$162</c:f>
              <c:numCache>
                <c:formatCode>General</c:formatCode>
                <c:ptCount val="161"/>
                <c:pt idx="0">
                  <c:v>12</c:v>
                </c:pt>
                <c:pt idx="1">
                  <c:v>22.916666666666668</c:v>
                </c:pt>
                <c:pt idx="2">
                  <c:v>23.375</c:v>
                </c:pt>
                <c:pt idx="3">
                  <c:v>23.5</c:v>
                </c:pt>
                <c:pt idx="4">
                  <c:v>25</c:v>
                </c:pt>
                <c:pt idx="5">
                  <c:v>25.333333333333332</c:v>
                </c:pt>
                <c:pt idx="6">
                  <c:v>26.583333333333332</c:v>
                </c:pt>
                <c:pt idx="7">
                  <c:v>27.291666666666668</c:v>
                </c:pt>
                <c:pt idx="8">
                  <c:v>27.75</c:v>
                </c:pt>
                <c:pt idx="9">
                  <c:v>30</c:v>
                </c:pt>
                <c:pt idx="10">
                  <c:v>30.083333333333332</c:v>
                </c:pt>
                <c:pt idx="11">
                  <c:v>31</c:v>
                </c:pt>
                <c:pt idx="12">
                  <c:v>34.5</c:v>
                </c:pt>
                <c:pt idx="13">
                  <c:v>35.166666666666664</c:v>
                </c:pt>
                <c:pt idx="14">
                  <c:v>37.083333333333336</c:v>
                </c:pt>
                <c:pt idx="15">
                  <c:v>37.333333333333336</c:v>
                </c:pt>
                <c:pt idx="16">
                  <c:v>40</c:v>
                </c:pt>
                <c:pt idx="17">
                  <c:v>41.333333333333336</c:v>
                </c:pt>
                <c:pt idx="18">
                  <c:v>43.416666666666664</c:v>
                </c:pt>
                <c:pt idx="19">
                  <c:v>43.75</c:v>
                </c:pt>
                <c:pt idx="20">
                  <c:v>44</c:v>
                </c:pt>
                <c:pt idx="21">
                  <c:v>46.083333333333336</c:v>
                </c:pt>
                <c:pt idx="22">
                  <c:v>48</c:v>
                </c:pt>
                <c:pt idx="23">
                  <c:v>49.333333333333336</c:v>
                </c:pt>
                <c:pt idx="24">
                  <c:v>49.416666666666664</c:v>
                </c:pt>
                <c:pt idx="25">
                  <c:v>52</c:v>
                </c:pt>
                <c:pt idx="26">
                  <c:v>53</c:v>
                </c:pt>
                <c:pt idx="27">
                  <c:v>53.583333333333336</c:v>
                </c:pt>
                <c:pt idx="28">
                  <c:v>54</c:v>
                </c:pt>
                <c:pt idx="29">
                  <c:v>55.25</c:v>
                </c:pt>
                <c:pt idx="30">
                  <c:v>55.5</c:v>
                </c:pt>
                <c:pt idx="31">
                  <c:v>55.583333333333336</c:v>
                </c:pt>
                <c:pt idx="32">
                  <c:v>55.75</c:v>
                </c:pt>
                <c:pt idx="33">
                  <c:v>56.833333333333336</c:v>
                </c:pt>
                <c:pt idx="34">
                  <c:v>57</c:v>
                </c:pt>
                <c:pt idx="35">
                  <c:v>57.333333333333336</c:v>
                </c:pt>
                <c:pt idx="36">
                  <c:v>57.416666666666664</c:v>
                </c:pt>
                <c:pt idx="37">
                  <c:v>60.583333333333336</c:v>
                </c:pt>
                <c:pt idx="38">
                  <c:v>61</c:v>
                </c:pt>
                <c:pt idx="39">
                  <c:v>61.25</c:v>
                </c:pt>
                <c:pt idx="40">
                  <c:v>61.75</c:v>
                </c:pt>
                <c:pt idx="41">
                  <c:v>62.666666666666664</c:v>
                </c:pt>
                <c:pt idx="42">
                  <c:v>64.083333333333329</c:v>
                </c:pt>
                <c:pt idx="43">
                  <c:v>67.916666666666671</c:v>
                </c:pt>
              </c:numCache>
            </c:numRef>
          </c:xVal>
          <c:yVal>
            <c:numRef>
              <c:f>T1M!$AN$2:$AN$162</c:f>
              <c:numCache>
                <c:formatCode>General</c:formatCode>
                <c:ptCount val="161"/>
                <c:pt idx="1">
                  <c:v>145.7225</c:v>
                </c:pt>
                <c:pt idx="2">
                  <c:v>145.7225</c:v>
                </c:pt>
                <c:pt idx="3">
                  <c:v>145.7225</c:v>
                </c:pt>
                <c:pt idx="4">
                  <c:v>145.7225</c:v>
                </c:pt>
                <c:pt idx="5">
                  <c:v>145.7225</c:v>
                </c:pt>
                <c:pt idx="6">
                  <c:v>145.7225</c:v>
                </c:pt>
                <c:pt idx="7">
                  <c:v>145.7225</c:v>
                </c:pt>
                <c:pt idx="8">
                  <c:v>145.7225</c:v>
                </c:pt>
                <c:pt idx="9">
                  <c:v>145.7225</c:v>
                </c:pt>
                <c:pt idx="10">
                  <c:v>145.7225</c:v>
                </c:pt>
                <c:pt idx="11">
                  <c:v>145.7225</c:v>
                </c:pt>
                <c:pt idx="12">
                  <c:v>145.7225</c:v>
                </c:pt>
                <c:pt idx="13">
                  <c:v>145.7225</c:v>
                </c:pt>
                <c:pt idx="14">
                  <c:v>145.7225</c:v>
                </c:pt>
                <c:pt idx="15">
                  <c:v>145.7225</c:v>
                </c:pt>
                <c:pt idx="16">
                  <c:v>145.7225</c:v>
                </c:pt>
                <c:pt idx="17">
                  <c:v>145.7225</c:v>
                </c:pt>
                <c:pt idx="18">
                  <c:v>145.7225</c:v>
                </c:pt>
                <c:pt idx="19">
                  <c:v>145.7225</c:v>
                </c:pt>
                <c:pt idx="20">
                  <c:v>145.7225</c:v>
                </c:pt>
                <c:pt idx="21">
                  <c:v>145.7225</c:v>
                </c:pt>
                <c:pt idx="22">
                  <c:v>145.7225</c:v>
                </c:pt>
                <c:pt idx="23">
                  <c:v>145.7225</c:v>
                </c:pt>
                <c:pt idx="24">
                  <c:v>145.7225</c:v>
                </c:pt>
                <c:pt idx="25">
                  <c:v>145.7225</c:v>
                </c:pt>
                <c:pt idx="26">
                  <c:v>145.7225</c:v>
                </c:pt>
                <c:pt idx="27">
                  <c:v>145.7225</c:v>
                </c:pt>
                <c:pt idx="28">
                  <c:v>145.7225</c:v>
                </c:pt>
                <c:pt idx="29">
                  <c:v>145.7225</c:v>
                </c:pt>
                <c:pt idx="30">
                  <c:v>145.7225</c:v>
                </c:pt>
                <c:pt idx="31">
                  <c:v>145.7225</c:v>
                </c:pt>
                <c:pt idx="32">
                  <c:v>145.7225</c:v>
                </c:pt>
                <c:pt idx="33">
                  <c:v>145.7225</c:v>
                </c:pt>
                <c:pt idx="34">
                  <c:v>145.7225</c:v>
                </c:pt>
                <c:pt idx="35">
                  <c:v>145.7225</c:v>
                </c:pt>
                <c:pt idx="36">
                  <c:v>145.7225</c:v>
                </c:pt>
                <c:pt idx="37">
                  <c:v>145.7225</c:v>
                </c:pt>
                <c:pt idx="38">
                  <c:v>145.7225</c:v>
                </c:pt>
                <c:pt idx="39">
                  <c:v>145.7225</c:v>
                </c:pt>
                <c:pt idx="40">
                  <c:v>145.7225</c:v>
                </c:pt>
                <c:pt idx="41">
                  <c:v>145.7225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3FA-4DEE-B596-12A2C4F86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234736"/>
        <c:axId val="651111784"/>
      </c:scatterChart>
      <c:valAx>
        <c:axId val="634234736"/>
        <c:scaling>
          <c:orientation val="minMax"/>
          <c:max val="7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Along Transect - 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111784"/>
        <c:crosses val="autoZero"/>
        <c:crossBetween val="midCat"/>
      </c:valAx>
      <c:valAx>
        <c:axId val="65111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/>
                  <a:t>Elevation</a:t>
                </a:r>
                <a:r>
                  <a:rPr lang="en-US" sz="1400" b="0" baseline="0"/>
                  <a:t> - ft USGS</a:t>
                </a:r>
                <a:endParaRPr lang="en-US" sz="14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23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Transect</a:t>
            </a:r>
            <a:r>
              <a:rPr lang="en-US" baseline="0"/>
              <a:t>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Substrate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T2M!$AI$2:$AI$215</c:f>
              <c:numCache>
                <c:formatCode>General</c:formatCode>
                <c:ptCount val="214"/>
                <c:pt idx="0">
                  <c:v>2.4166666666666665</c:v>
                </c:pt>
                <c:pt idx="1">
                  <c:v>4.75</c:v>
                </c:pt>
                <c:pt idx="2">
                  <c:v>5.166666666666667</c:v>
                </c:pt>
                <c:pt idx="3">
                  <c:v>5.416666666666667</c:v>
                </c:pt>
                <c:pt idx="4">
                  <c:v>5.583333333333333</c:v>
                </c:pt>
                <c:pt idx="5">
                  <c:v>5.666666666666667</c:v>
                </c:pt>
                <c:pt idx="6">
                  <c:v>6.083333333333333</c:v>
                </c:pt>
                <c:pt idx="7">
                  <c:v>6.666666666666667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8.4166666666666661</c:v>
                </c:pt>
                <c:pt idx="11">
                  <c:v>8.6666666666666661</c:v>
                </c:pt>
                <c:pt idx="12">
                  <c:v>9.4583333333333339</c:v>
                </c:pt>
                <c:pt idx="13">
                  <c:v>9.5</c:v>
                </c:pt>
                <c:pt idx="14">
                  <c:v>10.25</c:v>
                </c:pt>
                <c:pt idx="15">
                  <c:v>11.083333333333334</c:v>
                </c:pt>
                <c:pt idx="16">
                  <c:v>11.166666666666666</c:v>
                </c:pt>
                <c:pt idx="17">
                  <c:v>11.833333333333334</c:v>
                </c:pt>
                <c:pt idx="18">
                  <c:v>12.083333333333334</c:v>
                </c:pt>
                <c:pt idx="19">
                  <c:v>12.166666666666666</c:v>
                </c:pt>
                <c:pt idx="20">
                  <c:v>12.25</c:v>
                </c:pt>
                <c:pt idx="21">
                  <c:v>13.083333333333334</c:v>
                </c:pt>
                <c:pt idx="22">
                  <c:v>13.166666666666666</c:v>
                </c:pt>
                <c:pt idx="23">
                  <c:v>13.5</c:v>
                </c:pt>
                <c:pt idx="24">
                  <c:v>13.833333333333334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20.166666666666668</c:v>
                </c:pt>
                <c:pt idx="29">
                  <c:v>20.25</c:v>
                </c:pt>
                <c:pt idx="30">
                  <c:v>20.416666666666668</c:v>
                </c:pt>
                <c:pt idx="31">
                  <c:v>21.291666666666668</c:v>
                </c:pt>
                <c:pt idx="32">
                  <c:v>21.416666666666668</c:v>
                </c:pt>
                <c:pt idx="33">
                  <c:v>21.5</c:v>
                </c:pt>
                <c:pt idx="34">
                  <c:v>22.833333333333332</c:v>
                </c:pt>
                <c:pt idx="35">
                  <c:v>23.416666666666668</c:v>
                </c:pt>
                <c:pt idx="36">
                  <c:v>24</c:v>
                </c:pt>
                <c:pt idx="37">
                  <c:v>24.416666666666668</c:v>
                </c:pt>
                <c:pt idx="38">
                  <c:v>25.25</c:v>
                </c:pt>
                <c:pt idx="39">
                  <c:v>26.5</c:v>
                </c:pt>
                <c:pt idx="40">
                  <c:v>27.416666666666668</c:v>
                </c:pt>
                <c:pt idx="41">
                  <c:v>27.75</c:v>
                </c:pt>
                <c:pt idx="42">
                  <c:v>28.666666666666668</c:v>
                </c:pt>
                <c:pt idx="43">
                  <c:v>29</c:v>
                </c:pt>
                <c:pt idx="44">
                  <c:v>29.083333333333332</c:v>
                </c:pt>
                <c:pt idx="45">
                  <c:v>29.333333333333332</c:v>
                </c:pt>
                <c:pt idx="46">
                  <c:v>30.083333333333332</c:v>
                </c:pt>
                <c:pt idx="47">
                  <c:v>30.166666666666668</c:v>
                </c:pt>
                <c:pt idx="48">
                  <c:v>30.333333333333332</c:v>
                </c:pt>
                <c:pt idx="49">
                  <c:v>30.666666666666668</c:v>
                </c:pt>
                <c:pt idx="50">
                  <c:v>32</c:v>
                </c:pt>
                <c:pt idx="51">
                  <c:v>34.5</c:v>
                </c:pt>
                <c:pt idx="52">
                  <c:v>35.833333333333336</c:v>
                </c:pt>
              </c:numCache>
            </c:numRef>
          </c:xVal>
          <c:yVal>
            <c:numRef>
              <c:f>T2M!$AJ$2:$AJ$215</c:f>
              <c:numCache>
                <c:formatCode>General</c:formatCode>
                <c:ptCount val="214"/>
                <c:pt idx="0">
                  <c:v>144.21981059999999</c:v>
                </c:pt>
                <c:pt idx="1">
                  <c:v>143.93981059999999</c:v>
                </c:pt>
                <c:pt idx="2">
                  <c:v>143.5773106</c:v>
                </c:pt>
                <c:pt idx="3">
                  <c:v>143.3598106</c:v>
                </c:pt>
                <c:pt idx="4">
                  <c:v>143.3333400117647</c:v>
                </c:pt>
                <c:pt idx="5">
                  <c:v>143.32010471764707</c:v>
                </c:pt>
                <c:pt idx="6">
                  <c:v>143.25392824705881</c:v>
                </c:pt>
                <c:pt idx="7">
                  <c:v>143.16128118823528</c:v>
                </c:pt>
                <c:pt idx="8">
                  <c:v>143.14804589411764</c:v>
                </c:pt>
                <c:pt idx="9">
                  <c:v>142.90981059999999</c:v>
                </c:pt>
                <c:pt idx="10">
                  <c:v>142.93187956551722</c:v>
                </c:pt>
                <c:pt idx="11">
                  <c:v>142.9649830137931</c:v>
                </c:pt>
                <c:pt idx="12">
                  <c:v>143.06981060000001</c:v>
                </c:pt>
                <c:pt idx="13">
                  <c:v>143.12244217894738</c:v>
                </c:pt>
                <c:pt idx="14">
                  <c:v>144.06981060000001</c:v>
                </c:pt>
                <c:pt idx="15">
                  <c:v>143.90138954736841</c:v>
                </c:pt>
                <c:pt idx="16">
                  <c:v>143.88454744210526</c:v>
                </c:pt>
                <c:pt idx="17">
                  <c:v>143.74981059999999</c:v>
                </c:pt>
                <c:pt idx="18">
                  <c:v>143.11981059999999</c:v>
                </c:pt>
                <c:pt idx="19">
                  <c:v>143.09569295294116</c:v>
                </c:pt>
                <c:pt idx="20">
                  <c:v>143.07157530588233</c:v>
                </c:pt>
                <c:pt idx="21">
                  <c:v>142.83039883529412</c:v>
                </c:pt>
                <c:pt idx="22">
                  <c:v>142.80628118823529</c:v>
                </c:pt>
                <c:pt idx="23">
                  <c:v>142.7098106</c:v>
                </c:pt>
                <c:pt idx="24">
                  <c:v>143.13914393333334</c:v>
                </c:pt>
                <c:pt idx="25">
                  <c:v>144.31981060000001</c:v>
                </c:pt>
                <c:pt idx="26">
                  <c:v>143.78647726666665</c:v>
                </c:pt>
                <c:pt idx="27">
                  <c:v>143.61981059999999</c:v>
                </c:pt>
                <c:pt idx="28">
                  <c:v>143.5198106</c:v>
                </c:pt>
                <c:pt idx="29">
                  <c:v>143.48795874814815</c:v>
                </c:pt>
                <c:pt idx="30">
                  <c:v>143.42425504444444</c:v>
                </c:pt>
                <c:pt idx="31">
                  <c:v>143.08981059999999</c:v>
                </c:pt>
                <c:pt idx="32">
                  <c:v>143.11981059999999</c:v>
                </c:pt>
                <c:pt idx="33">
                  <c:v>143.1398106</c:v>
                </c:pt>
                <c:pt idx="34">
                  <c:v>143.4598106</c:v>
                </c:pt>
                <c:pt idx="35">
                  <c:v>143.59981059999998</c:v>
                </c:pt>
                <c:pt idx="36">
                  <c:v>143.81981060000001</c:v>
                </c:pt>
                <c:pt idx="37">
                  <c:v>143.16981060000001</c:v>
                </c:pt>
                <c:pt idx="38">
                  <c:v>143.12581059999999</c:v>
                </c:pt>
                <c:pt idx="39">
                  <c:v>143.05981059999999</c:v>
                </c:pt>
                <c:pt idx="40">
                  <c:v>143.07673367692306</c:v>
                </c:pt>
                <c:pt idx="41">
                  <c:v>143.08288752307692</c:v>
                </c:pt>
                <c:pt idx="42">
                  <c:v>143.09981059999998</c:v>
                </c:pt>
                <c:pt idx="43">
                  <c:v>143.54481060000001</c:v>
                </c:pt>
                <c:pt idx="44">
                  <c:v>143.65606059999999</c:v>
                </c:pt>
                <c:pt idx="45">
                  <c:v>143.9898106</c:v>
                </c:pt>
                <c:pt idx="46">
                  <c:v>143.6748106</c:v>
                </c:pt>
                <c:pt idx="47">
                  <c:v>143.6398106</c:v>
                </c:pt>
                <c:pt idx="48">
                  <c:v>143.68435605454545</c:v>
                </c:pt>
                <c:pt idx="49">
                  <c:v>143.77344696363636</c:v>
                </c:pt>
                <c:pt idx="50">
                  <c:v>144.12981059999998</c:v>
                </c:pt>
                <c:pt idx="51">
                  <c:v>144.30981059999999</c:v>
                </c:pt>
                <c:pt idx="52">
                  <c:v>144.91981060000001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B-4376-B692-512FC51CE239}"/>
            </c:ext>
          </c:extLst>
        </c:ser>
        <c:ser>
          <c:idx val="1"/>
          <c:order val="1"/>
          <c:tx>
            <c:v>Flow 1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T2M!$AI$2:$AI$215</c:f>
              <c:numCache>
                <c:formatCode>General</c:formatCode>
                <c:ptCount val="214"/>
                <c:pt idx="0">
                  <c:v>2.4166666666666665</c:v>
                </c:pt>
                <c:pt idx="1">
                  <c:v>4.75</c:v>
                </c:pt>
                <c:pt idx="2">
                  <c:v>5.166666666666667</c:v>
                </c:pt>
                <c:pt idx="3">
                  <c:v>5.416666666666667</c:v>
                </c:pt>
                <c:pt idx="4">
                  <c:v>5.583333333333333</c:v>
                </c:pt>
                <c:pt idx="5">
                  <c:v>5.666666666666667</c:v>
                </c:pt>
                <c:pt idx="6">
                  <c:v>6.083333333333333</c:v>
                </c:pt>
                <c:pt idx="7">
                  <c:v>6.666666666666667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8.4166666666666661</c:v>
                </c:pt>
                <c:pt idx="11">
                  <c:v>8.6666666666666661</c:v>
                </c:pt>
                <c:pt idx="12">
                  <c:v>9.4583333333333339</c:v>
                </c:pt>
                <c:pt idx="13">
                  <c:v>9.5</c:v>
                </c:pt>
                <c:pt idx="14">
                  <c:v>10.25</c:v>
                </c:pt>
                <c:pt idx="15">
                  <c:v>11.083333333333334</c:v>
                </c:pt>
                <c:pt idx="16">
                  <c:v>11.166666666666666</c:v>
                </c:pt>
                <c:pt idx="17">
                  <c:v>11.833333333333334</c:v>
                </c:pt>
                <c:pt idx="18">
                  <c:v>12.083333333333334</c:v>
                </c:pt>
                <c:pt idx="19">
                  <c:v>12.166666666666666</c:v>
                </c:pt>
                <c:pt idx="20">
                  <c:v>12.25</c:v>
                </c:pt>
                <c:pt idx="21">
                  <c:v>13.083333333333334</c:v>
                </c:pt>
                <c:pt idx="22">
                  <c:v>13.166666666666666</c:v>
                </c:pt>
                <c:pt idx="23">
                  <c:v>13.5</c:v>
                </c:pt>
                <c:pt idx="24">
                  <c:v>13.833333333333334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20.166666666666668</c:v>
                </c:pt>
                <c:pt idx="29">
                  <c:v>20.25</c:v>
                </c:pt>
                <c:pt idx="30">
                  <c:v>20.416666666666668</c:v>
                </c:pt>
                <c:pt idx="31">
                  <c:v>21.291666666666668</c:v>
                </c:pt>
                <c:pt idx="32">
                  <c:v>21.416666666666668</c:v>
                </c:pt>
                <c:pt idx="33">
                  <c:v>21.5</c:v>
                </c:pt>
                <c:pt idx="34">
                  <c:v>22.833333333333332</c:v>
                </c:pt>
                <c:pt idx="35">
                  <c:v>23.416666666666668</c:v>
                </c:pt>
                <c:pt idx="36">
                  <c:v>24</c:v>
                </c:pt>
                <c:pt idx="37">
                  <c:v>24.416666666666668</c:v>
                </c:pt>
                <c:pt idx="38">
                  <c:v>25.25</c:v>
                </c:pt>
                <c:pt idx="39">
                  <c:v>26.5</c:v>
                </c:pt>
                <c:pt idx="40">
                  <c:v>27.416666666666668</c:v>
                </c:pt>
                <c:pt idx="41">
                  <c:v>27.75</c:v>
                </c:pt>
                <c:pt idx="42">
                  <c:v>28.666666666666668</c:v>
                </c:pt>
                <c:pt idx="43">
                  <c:v>29</c:v>
                </c:pt>
                <c:pt idx="44">
                  <c:v>29.083333333333332</c:v>
                </c:pt>
                <c:pt idx="45">
                  <c:v>29.333333333333332</c:v>
                </c:pt>
                <c:pt idx="46">
                  <c:v>30.083333333333332</c:v>
                </c:pt>
                <c:pt idx="47">
                  <c:v>30.166666666666668</c:v>
                </c:pt>
                <c:pt idx="48">
                  <c:v>30.333333333333332</c:v>
                </c:pt>
                <c:pt idx="49">
                  <c:v>30.666666666666668</c:v>
                </c:pt>
                <c:pt idx="50">
                  <c:v>32</c:v>
                </c:pt>
                <c:pt idx="51">
                  <c:v>34.5</c:v>
                </c:pt>
                <c:pt idx="52">
                  <c:v>35.833333333333336</c:v>
                </c:pt>
              </c:numCache>
            </c:numRef>
          </c:xVal>
          <c:yVal>
            <c:numRef>
              <c:f>T2M!$AK$2:$AK$215</c:f>
              <c:numCache>
                <c:formatCode>General</c:formatCode>
                <c:ptCount val="214"/>
                <c:pt idx="2">
                  <c:v>143.465</c:v>
                </c:pt>
                <c:pt idx="3">
                  <c:v>143.465</c:v>
                </c:pt>
                <c:pt idx="4">
                  <c:v>143.465</c:v>
                </c:pt>
                <c:pt idx="5">
                  <c:v>143.465</c:v>
                </c:pt>
                <c:pt idx="6">
                  <c:v>143.465</c:v>
                </c:pt>
                <c:pt idx="7">
                  <c:v>143.465</c:v>
                </c:pt>
                <c:pt idx="8">
                  <c:v>143.465</c:v>
                </c:pt>
                <c:pt idx="9">
                  <c:v>143.465</c:v>
                </c:pt>
                <c:pt idx="10">
                  <c:v>143.465</c:v>
                </c:pt>
                <c:pt idx="11">
                  <c:v>143.465</c:v>
                </c:pt>
                <c:pt idx="12">
                  <c:v>143.465</c:v>
                </c:pt>
                <c:pt idx="13">
                  <c:v>143.465</c:v>
                </c:pt>
                <c:pt idx="17">
                  <c:v>143.465</c:v>
                </c:pt>
                <c:pt idx="18">
                  <c:v>143.465</c:v>
                </c:pt>
                <c:pt idx="19">
                  <c:v>143.465</c:v>
                </c:pt>
                <c:pt idx="20">
                  <c:v>143.465</c:v>
                </c:pt>
                <c:pt idx="21">
                  <c:v>143.465</c:v>
                </c:pt>
                <c:pt idx="22">
                  <c:v>143.465</c:v>
                </c:pt>
                <c:pt idx="23">
                  <c:v>143.465</c:v>
                </c:pt>
                <c:pt idx="27">
                  <c:v>143.465</c:v>
                </c:pt>
                <c:pt idx="28">
                  <c:v>143.465</c:v>
                </c:pt>
                <c:pt idx="29">
                  <c:v>143.465</c:v>
                </c:pt>
                <c:pt idx="30">
                  <c:v>143.465</c:v>
                </c:pt>
                <c:pt idx="31">
                  <c:v>143.465</c:v>
                </c:pt>
                <c:pt idx="32">
                  <c:v>143.465</c:v>
                </c:pt>
                <c:pt idx="33">
                  <c:v>143.465</c:v>
                </c:pt>
                <c:pt idx="34">
                  <c:v>143.465</c:v>
                </c:pt>
                <c:pt idx="36">
                  <c:v>143.465</c:v>
                </c:pt>
                <c:pt idx="37">
                  <c:v>143.465</c:v>
                </c:pt>
                <c:pt idx="38">
                  <c:v>143.465</c:v>
                </c:pt>
                <c:pt idx="39">
                  <c:v>143.465</c:v>
                </c:pt>
                <c:pt idx="40">
                  <c:v>143.465</c:v>
                </c:pt>
                <c:pt idx="41">
                  <c:v>143.465</c:v>
                </c:pt>
                <c:pt idx="42">
                  <c:v>143.465</c:v>
                </c:pt>
                <c:pt idx="43">
                  <c:v>143.465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B-4376-B692-512FC51CE239}"/>
            </c:ext>
          </c:extLst>
        </c:ser>
        <c:ser>
          <c:idx val="2"/>
          <c:order val="2"/>
          <c:tx>
            <c:v>Flow 2</c:v>
          </c:tx>
          <c:spPr>
            <a:ln w="1905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T2M!$AI$2:$AI$215</c:f>
              <c:numCache>
                <c:formatCode>General</c:formatCode>
                <c:ptCount val="214"/>
                <c:pt idx="0">
                  <c:v>2.4166666666666665</c:v>
                </c:pt>
                <c:pt idx="1">
                  <c:v>4.75</c:v>
                </c:pt>
                <c:pt idx="2">
                  <c:v>5.166666666666667</c:v>
                </c:pt>
                <c:pt idx="3">
                  <c:v>5.416666666666667</c:v>
                </c:pt>
                <c:pt idx="4">
                  <c:v>5.583333333333333</c:v>
                </c:pt>
                <c:pt idx="5">
                  <c:v>5.666666666666667</c:v>
                </c:pt>
                <c:pt idx="6">
                  <c:v>6.083333333333333</c:v>
                </c:pt>
                <c:pt idx="7">
                  <c:v>6.666666666666667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8.4166666666666661</c:v>
                </c:pt>
                <c:pt idx="11">
                  <c:v>8.6666666666666661</c:v>
                </c:pt>
                <c:pt idx="12">
                  <c:v>9.4583333333333339</c:v>
                </c:pt>
                <c:pt idx="13">
                  <c:v>9.5</c:v>
                </c:pt>
                <c:pt idx="14">
                  <c:v>10.25</c:v>
                </c:pt>
                <c:pt idx="15">
                  <c:v>11.083333333333334</c:v>
                </c:pt>
                <c:pt idx="16">
                  <c:v>11.166666666666666</c:v>
                </c:pt>
                <c:pt idx="17">
                  <c:v>11.833333333333334</c:v>
                </c:pt>
                <c:pt idx="18">
                  <c:v>12.083333333333334</c:v>
                </c:pt>
                <c:pt idx="19">
                  <c:v>12.166666666666666</c:v>
                </c:pt>
                <c:pt idx="20">
                  <c:v>12.25</c:v>
                </c:pt>
                <c:pt idx="21">
                  <c:v>13.083333333333334</c:v>
                </c:pt>
                <c:pt idx="22">
                  <c:v>13.166666666666666</c:v>
                </c:pt>
                <c:pt idx="23">
                  <c:v>13.5</c:v>
                </c:pt>
                <c:pt idx="24">
                  <c:v>13.833333333333334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20.166666666666668</c:v>
                </c:pt>
                <c:pt idx="29">
                  <c:v>20.25</c:v>
                </c:pt>
                <c:pt idx="30">
                  <c:v>20.416666666666668</c:v>
                </c:pt>
                <c:pt idx="31">
                  <c:v>21.291666666666668</c:v>
                </c:pt>
                <c:pt idx="32">
                  <c:v>21.416666666666668</c:v>
                </c:pt>
                <c:pt idx="33">
                  <c:v>21.5</c:v>
                </c:pt>
                <c:pt idx="34">
                  <c:v>22.833333333333332</c:v>
                </c:pt>
                <c:pt idx="35">
                  <c:v>23.416666666666668</c:v>
                </c:pt>
                <c:pt idx="36">
                  <c:v>24</c:v>
                </c:pt>
                <c:pt idx="37">
                  <c:v>24.416666666666668</c:v>
                </c:pt>
                <c:pt idx="38">
                  <c:v>25.25</c:v>
                </c:pt>
                <c:pt idx="39">
                  <c:v>26.5</c:v>
                </c:pt>
                <c:pt idx="40">
                  <c:v>27.416666666666668</c:v>
                </c:pt>
                <c:pt idx="41">
                  <c:v>27.75</c:v>
                </c:pt>
                <c:pt idx="42">
                  <c:v>28.666666666666668</c:v>
                </c:pt>
                <c:pt idx="43">
                  <c:v>29</c:v>
                </c:pt>
                <c:pt idx="44">
                  <c:v>29.083333333333332</c:v>
                </c:pt>
                <c:pt idx="45">
                  <c:v>29.333333333333332</c:v>
                </c:pt>
                <c:pt idx="46">
                  <c:v>30.083333333333332</c:v>
                </c:pt>
                <c:pt idx="47">
                  <c:v>30.166666666666668</c:v>
                </c:pt>
                <c:pt idx="48">
                  <c:v>30.333333333333332</c:v>
                </c:pt>
                <c:pt idx="49">
                  <c:v>30.666666666666668</c:v>
                </c:pt>
                <c:pt idx="50">
                  <c:v>32</c:v>
                </c:pt>
                <c:pt idx="51">
                  <c:v>34.5</c:v>
                </c:pt>
                <c:pt idx="52">
                  <c:v>35.833333333333336</c:v>
                </c:pt>
              </c:numCache>
            </c:numRef>
          </c:xVal>
          <c:yVal>
            <c:numRef>
              <c:f>T2M!$AL$2:$AL$215</c:f>
              <c:numCache>
                <c:formatCode>General</c:formatCode>
                <c:ptCount val="214"/>
                <c:pt idx="1">
                  <c:v>143.67230000000001</c:v>
                </c:pt>
                <c:pt idx="2">
                  <c:v>143.67230000000001</c:v>
                </c:pt>
                <c:pt idx="3">
                  <c:v>143.67230000000001</c:v>
                </c:pt>
                <c:pt idx="4">
                  <c:v>143.67230000000001</c:v>
                </c:pt>
                <c:pt idx="5">
                  <c:v>143.67230000000001</c:v>
                </c:pt>
                <c:pt idx="6">
                  <c:v>143.67230000000001</c:v>
                </c:pt>
                <c:pt idx="7">
                  <c:v>143.67230000000001</c:v>
                </c:pt>
                <c:pt idx="8">
                  <c:v>143.67230000000001</c:v>
                </c:pt>
                <c:pt idx="9">
                  <c:v>143.67230000000001</c:v>
                </c:pt>
                <c:pt idx="10">
                  <c:v>143.67230000000001</c:v>
                </c:pt>
                <c:pt idx="11">
                  <c:v>143.67230000000001</c:v>
                </c:pt>
                <c:pt idx="12">
                  <c:v>143.67230000000001</c:v>
                </c:pt>
                <c:pt idx="13">
                  <c:v>143.67230000000001</c:v>
                </c:pt>
                <c:pt idx="17">
                  <c:v>143.67230000000001</c:v>
                </c:pt>
                <c:pt idx="18">
                  <c:v>143.67230000000001</c:v>
                </c:pt>
                <c:pt idx="19">
                  <c:v>143.67230000000001</c:v>
                </c:pt>
                <c:pt idx="20">
                  <c:v>143.67230000000001</c:v>
                </c:pt>
                <c:pt idx="21">
                  <c:v>143.67230000000001</c:v>
                </c:pt>
                <c:pt idx="22">
                  <c:v>143.67230000000001</c:v>
                </c:pt>
                <c:pt idx="23">
                  <c:v>143.67230000000001</c:v>
                </c:pt>
                <c:pt idx="27">
                  <c:v>143.67230000000001</c:v>
                </c:pt>
                <c:pt idx="28">
                  <c:v>143.67230000000001</c:v>
                </c:pt>
                <c:pt idx="29">
                  <c:v>143.67230000000001</c:v>
                </c:pt>
                <c:pt idx="30">
                  <c:v>143.67230000000001</c:v>
                </c:pt>
                <c:pt idx="31">
                  <c:v>143.67230000000001</c:v>
                </c:pt>
                <c:pt idx="32">
                  <c:v>143.67230000000001</c:v>
                </c:pt>
                <c:pt idx="33">
                  <c:v>143.67230000000001</c:v>
                </c:pt>
                <c:pt idx="34">
                  <c:v>143.67230000000001</c:v>
                </c:pt>
                <c:pt idx="35">
                  <c:v>143.67230000000001</c:v>
                </c:pt>
                <c:pt idx="36">
                  <c:v>143.67230000000001</c:v>
                </c:pt>
                <c:pt idx="37">
                  <c:v>143.67230000000001</c:v>
                </c:pt>
                <c:pt idx="38">
                  <c:v>143.67230000000001</c:v>
                </c:pt>
                <c:pt idx="39">
                  <c:v>143.67230000000001</c:v>
                </c:pt>
                <c:pt idx="40">
                  <c:v>143.67230000000001</c:v>
                </c:pt>
                <c:pt idx="41">
                  <c:v>143.67230000000001</c:v>
                </c:pt>
                <c:pt idx="42">
                  <c:v>143.67230000000001</c:v>
                </c:pt>
                <c:pt idx="43">
                  <c:v>143.67230000000001</c:v>
                </c:pt>
                <c:pt idx="44">
                  <c:v>143.67230000000001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BB-4376-B692-512FC51CE239}"/>
            </c:ext>
          </c:extLst>
        </c:ser>
        <c:ser>
          <c:idx val="3"/>
          <c:order val="3"/>
          <c:tx>
            <c:v>Flow 3</c:v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T2M!$AI$2:$AI$215</c:f>
              <c:numCache>
                <c:formatCode>General</c:formatCode>
                <c:ptCount val="214"/>
                <c:pt idx="0">
                  <c:v>2.4166666666666665</c:v>
                </c:pt>
                <c:pt idx="1">
                  <c:v>4.75</c:v>
                </c:pt>
                <c:pt idx="2">
                  <c:v>5.166666666666667</c:v>
                </c:pt>
                <c:pt idx="3">
                  <c:v>5.416666666666667</c:v>
                </c:pt>
                <c:pt idx="4">
                  <c:v>5.583333333333333</c:v>
                </c:pt>
                <c:pt idx="5">
                  <c:v>5.666666666666667</c:v>
                </c:pt>
                <c:pt idx="6">
                  <c:v>6.083333333333333</c:v>
                </c:pt>
                <c:pt idx="7">
                  <c:v>6.666666666666667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8.4166666666666661</c:v>
                </c:pt>
                <c:pt idx="11">
                  <c:v>8.6666666666666661</c:v>
                </c:pt>
                <c:pt idx="12">
                  <c:v>9.4583333333333339</c:v>
                </c:pt>
                <c:pt idx="13">
                  <c:v>9.5</c:v>
                </c:pt>
                <c:pt idx="14">
                  <c:v>10.25</c:v>
                </c:pt>
                <c:pt idx="15">
                  <c:v>11.083333333333334</c:v>
                </c:pt>
                <c:pt idx="16">
                  <c:v>11.166666666666666</c:v>
                </c:pt>
                <c:pt idx="17">
                  <c:v>11.833333333333334</c:v>
                </c:pt>
                <c:pt idx="18">
                  <c:v>12.083333333333334</c:v>
                </c:pt>
                <c:pt idx="19">
                  <c:v>12.166666666666666</c:v>
                </c:pt>
                <c:pt idx="20">
                  <c:v>12.25</c:v>
                </c:pt>
                <c:pt idx="21">
                  <c:v>13.083333333333334</c:v>
                </c:pt>
                <c:pt idx="22">
                  <c:v>13.166666666666666</c:v>
                </c:pt>
                <c:pt idx="23">
                  <c:v>13.5</c:v>
                </c:pt>
                <c:pt idx="24">
                  <c:v>13.833333333333334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20.166666666666668</c:v>
                </c:pt>
                <c:pt idx="29">
                  <c:v>20.25</c:v>
                </c:pt>
                <c:pt idx="30">
                  <c:v>20.416666666666668</c:v>
                </c:pt>
                <c:pt idx="31">
                  <c:v>21.291666666666668</c:v>
                </c:pt>
                <c:pt idx="32">
                  <c:v>21.416666666666668</c:v>
                </c:pt>
                <c:pt idx="33">
                  <c:v>21.5</c:v>
                </c:pt>
                <c:pt idx="34">
                  <c:v>22.833333333333332</c:v>
                </c:pt>
                <c:pt idx="35">
                  <c:v>23.416666666666668</c:v>
                </c:pt>
                <c:pt idx="36">
                  <c:v>24</c:v>
                </c:pt>
                <c:pt idx="37">
                  <c:v>24.416666666666668</c:v>
                </c:pt>
                <c:pt idx="38">
                  <c:v>25.25</c:v>
                </c:pt>
                <c:pt idx="39">
                  <c:v>26.5</c:v>
                </c:pt>
                <c:pt idx="40">
                  <c:v>27.416666666666668</c:v>
                </c:pt>
                <c:pt idx="41">
                  <c:v>27.75</c:v>
                </c:pt>
                <c:pt idx="42">
                  <c:v>28.666666666666668</c:v>
                </c:pt>
                <c:pt idx="43">
                  <c:v>29</c:v>
                </c:pt>
                <c:pt idx="44">
                  <c:v>29.083333333333332</c:v>
                </c:pt>
                <c:pt idx="45">
                  <c:v>29.333333333333332</c:v>
                </c:pt>
                <c:pt idx="46">
                  <c:v>30.083333333333332</c:v>
                </c:pt>
                <c:pt idx="47">
                  <c:v>30.166666666666668</c:v>
                </c:pt>
                <c:pt idx="48">
                  <c:v>30.333333333333332</c:v>
                </c:pt>
                <c:pt idx="49">
                  <c:v>30.666666666666668</c:v>
                </c:pt>
                <c:pt idx="50">
                  <c:v>32</c:v>
                </c:pt>
                <c:pt idx="51">
                  <c:v>34.5</c:v>
                </c:pt>
                <c:pt idx="52">
                  <c:v>35.833333333333336</c:v>
                </c:pt>
              </c:numCache>
            </c:numRef>
          </c:xVal>
          <c:yVal>
            <c:numRef>
              <c:f>T2M!$AM$2:$AM$215</c:f>
              <c:numCache>
                <c:formatCode>General</c:formatCode>
                <c:ptCount val="214"/>
                <c:pt idx="1">
                  <c:v>143.7765</c:v>
                </c:pt>
                <c:pt idx="2">
                  <c:v>143.7765</c:v>
                </c:pt>
                <c:pt idx="3">
                  <c:v>143.7765</c:v>
                </c:pt>
                <c:pt idx="4">
                  <c:v>143.7765</c:v>
                </c:pt>
                <c:pt idx="5">
                  <c:v>143.7765</c:v>
                </c:pt>
                <c:pt idx="6">
                  <c:v>143.7765</c:v>
                </c:pt>
                <c:pt idx="7">
                  <c:v>143.7765</c:v>
                </c:pt>
                <c:pt idx="8">
                  <c:v>143.7765</c:v>
                </c:pt>
                <c:pt idx="9">
                  <c:v>143.7765</c:v>
                </c:pt>
                <c:pt idx="10">
                  <c:v>143.7765</c:v>
                </c:pt>
                <c:pt idx="11">
                  <c:v>143.7765</c:v>
                </c:pt>
                <c:pt idx="12">
                  <c:v>143.7765</c:v>
                </c:pt>
                <c:pt idx="13">
                  <c:v>143.7765</c:v>
                </c:pt>
                <c:pt idx="17">
                  <c:v>143.7765</c:v>
                </c:pt>
                <c:pt idx="18">
                  <c:v>143.7765</c:v>
                </c:pt>
                <c:pt idx="19">
                  <c:v>143.7765</c:v>
                </c:pt>
                <c:pt idx="20">
                  <c:v>143.7765</c:v>
                </c:pt>
                <c:pt idx="21">
                  <c:v>143.7765</c:v>
                </c:pt>
                <c:pt idx="22">
                  <c:v>143.7765</c:v>
                </c:pt>
                <c:pt idx="23">
                  <c:v>143.7765</c:v>
                </c:pt>
                <c:pt idx="24">
                  <c:v>143.7765</c:v>
                </c:pt>
                <c:pt idx="26">
                  <c:v>143.7765</c:v>
                </c:pt>
                <c:pt idx="27">
                  <c:v>143.7765</c:v>
                </c:pt>
                <c:pt idx="28">
                  <c:v>143.7765</c:v>
                </c:pt>
                <c:pt idx="29">
                  <c:v>143.7765</c:v>
                </c:pt>
                <c:pt idx="30">
                  <c:v>143.7765</c:v>
                </c:pt>
                <c:pt idx="31">
                  <c:v>143.7765</c:v>
                </c:pt>
                <c:pt idx="32">
                  <c:v>143.7765</c:v>
                </c:pt>
                <c:pt idx="33">
                  <c:v>143.7765</c:v>
                </c:pt>
                <c:pt idx="34">
                  <c:v>143.7765</c:v>
                </c:pt>
                <c:pt idx="35">
                  <c:v>143.7765</c:v>
                </c:pt>
                <c:pt idx="36">
                  <c:v>143.7765</c:v>
                </c:pt>
                <c:pt idx="37">
                  <c:v>143.7765</c:v>
                </c:pt>
                <c:pt idx="38">
                  <c:v>143.7765</c:v>
                </c:pt>
                <c:pt idx="39">
                  <c:v>143.7765</c:v>
                </c:pt>
                <c:pt idx="40">
                  <c:v>143.7765</c:v>
                </c:pt>
                <c:pt idx="41">
                  <c:v>143.7765</c:v>
                </c:pt>
                <c:pt idx="42">
                  <c:v>143.7765</c:v>
                </c:pt>
                <c:pt idx="43">
                  <c:v>143.7765</c:v>
                </c:pt>
                <c:pt idx="44">
                  <c:v>143.7765</c:v>
                </c:pt>
                <c:pt idx="46">
                  <c:v>143.7765</c:v>
                </c:pt>
                <c:pt idx="47">
                  <c:v>143.7765</c:v>
                </c:pt>
                <c:pt idx="48">
                  <c:v>143.7765</c:v>
                </c:pt>
                <c:pt idx="49">
                  <c:v>143.7765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B-4376-B692-512FC51CE239}"/>
            </c:ext>
          </c:extLst>
        </c:ser>
        <c:ser>
          <c:idx val="4"/>
          <c:order val="4"/>
          <c:tx>
            <c:v>Flow 4</c:v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none"/>
            </c:marker>
            <c:bubble3D val="0"/>
            <c:spPr>
              <a:ln w="19050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B4BB-4376-B692-512FC51CE239}"/>
              </c:ext>
            </c:extLst>
          </c:dPt>
          <c:xVal>
            <c:numRef>
              <c:f>T2M!$AI$2:$AI$215</c:f>
              <c:numCache>
                <c:formatCode>General</c:formatCode>
                <c:ptCount val="214"/>
                <c:pt idx="0">
                  <c:v>2.4166666666666665</c:v>
                </c:pt>
                <c:pt idx="1">
                  <c:v>4.75</c:v>
                </c:pt>
                <c:pt idx="2">
                  <c:v>5.166666666666667</c:v>
                </c:pt>
                <c:pt idx="3">
                  <c:v>5.416666666666667</c:v>
                </c:pt>
                <c:pt idx="4">
                  <c:v>5.583333333333333</c:v>
                </c:pt>
                <c:pt idx="5">
                  <c:v>5.666666666666667</c:v>
                </c:pt>
                <c:pt idx="6">
                  <c:v>6.083333333333333</c:v>
                </c:pt>
                <c:pt idx="7">
                  <c:v>6.666666666666667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8.4166666666666661</c:v>
                </c:pt>
                <c:pt idx="11">
                  <c:v>8.6666666666666661</c:v>
                </c:pt>
                <c:pt idx="12">
                  <c:v>9.4583333333333339</c:v>
                </c:pt>
                <c:pt idx="13">
                  <c:v>9.5</c:v>
                </c:pt>
                <c:pt idx="14">
                  <c:v>10.25</c:v>
                </c:pt>
                <c:pt idx="15">
                  <c:v>11.083333333333334</c:v>
                </c:pt>
                <c:pt idx="16">
                  <c:v>11.166666666666666</c:v>
                </c:pt>
                <c:pt idx="17">
                  <c:v>11.833333333333334</c:v>
                </c:pt>
                <c:pt idx="18">
                  <c:v>12.083333333333334</c:v>
                </c:pt>
                <c:pt idx="19">
                  <c:v>12.166666666666666</c:v>
                </c:pt>
                <c:pt idx="20">
                  <c:v>12.25</c:v>
                </c:pt>
                <c:pt idx="21">
                  <c:v>13.083333333333334</c:v>
                </c:pt>
                <c:pt idx="22">
                  <c:v>13.166666666666666</c:v>
                </c:pt>
                <c:pt idx="23">
                  <c:v>13.5</c:v>
                </c:pt>
                <c:pt idx="24">
                  <c:v>13.833333333333334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20.166666666666668</c:v>
                </c:pt>
                <c:pt idx="29">
                  <c:v>20.25</c:v>
                </c:pt>
                <c:pt idx="30">
                  <c:v>20.416666666666668</c:v>
                </c:pt>
                <c:pt idx="31">
                  <c:v>21.291666666666668</c:v>
                </c:pt>
                <c:pt idx="32">
                  <c:v>21.416666666666668</c:v>
                </c:pt>
                <c:pt idx="33">
                  <c:v>21.5</c:v>
                </c:pt>
                <c:pt idx="34">
                  <c:v>22.833333333333332</c:v>
                </c:pt>
                <c:pt idx="35">
                  <c:v>23.416666666666668</c:v>
                </c:pt>
                <c:pt idx="36">
                  <c:v>24</c:v>
                </c:pt>
                <c:pt idx="37">
                  <c:v>24.416666666666668</c:v>
                </c:pt>
                <c:pt idx="38">
                  <c:v>25.25</c:v>
                </c:pt>
                <c:pt idx="39">
                  <c:v>26.5</c:v>
                </c:pt>
                <c:pt idx="40">
                  <c:v>27.416666666666668</c:v>
                </c:pt>
                <c:pt idx="41">
                  <c:v>27.75</c:v>
                </c:pt>
                <c:pt idx="42">
                  <c:v>28.666666666666668</c:v>
                </c:pt>
                <c:pt idx="43">
                  <c:v>29</c:v>
                </c:pt>
                <c:pt idx="44">
                  <c:v>29.083333333333332</c:v>
                </c:pt>
                <c:pt idx="45">
                  <c:v>29.333333333333332</c:v>
                </c:pt>
                <c:pt idx="46">
                  <c:v>30.083333333333332</c:v>
                </c:pt>
                <c:pt idx="47">
                  <c:v>30.166666666666668</c:v>
                </c:pt>
                <c:pt idx="48">
                  <c:v>30.333333333333332</c:v>
                </c:pt>
                <c:pt idx="49">
                  <c:v>30.666666666666668</c:v>
                </c:pt>
                <c:pt idx="50">
                  <c:v>32</c:v>
                </c:pt>
                <c:pt idx="51">
                  <c:v>34.5</c:v>
                </c:pt>
                <c:pt idx="52">
                  <c:v>35.833333333333336</c:v>
                </c:pt>
              </c:numCache>
            </c:numRef>
          </c:xVal>
          <c:yVal>
            <c:numRef>
              <c:f>T2M!$AN$2:$AN$215</c:f>
              <c:numCache>
                <c:formatCode>General</c:formatCode>
                <c:ptCount val="214"/>
                <c:pt idx="1">
                  <c:v>143.92160000000001</c:v>
                </c:pt>
                <c:pt idx="2">
                  <c:v>143.92160000000001</c:v>
                </c:pt>
                <c:pt idx="3">
                  <c:v>143.92160000000001</c:v>
                </c:pt>
                <c:pt idx="4">
                  <c:v>143.92160000000001</c:v>
                </c:pt>
                <c:pt idx="5">
                  <c:v>143.92160000000001</c:v>
                </c:pt>
                <c:pt idx="6">
                  <c:v>143.92160000000001</c:v>
                </c:pt>
                <c:pt idx="7">
                  <c:v>143.92160000000001</c:v>
                </c:pt>
                <c:pt idx="8">
                  <c:v>143.92160000000001</c:v>
                </c:pt>
                <c:pt idx="9">
                  <c:v>143.92160000000001</c:v>
                </c:pt>
                <c:pt idx="10">
                  <c:v>143.92160000000001</c:v>
                </c:pt>
                <c:pt idx="11">
                  <c:v>143.92160000000001</c:v>
                </c:pt>
                <c:pt idx="12">
                  <c:v>143.92160000000001</c:v>
                </c:pt>
                <c:pt idx="13">
                  <c:v>143.92160000000001</c:v>
                </c:pt>
                <c:pt idx="15">
                  <c:v>143.92160000000001</c:v>
                </c:pt>
                <c:pt idx="16">
                  <c:v>143.92160000000001</c:v>
                </c:pt>
                <c:pt idx="17">
                  <c:v>143.92160000000001</c:v>
                </c:pt>
                <c:pt idx="18">
                  <c:v>143.92160000000001</c:v>
                </c:pt>
                <c:pt idx="19">
                  <c:v>143.92160000000001</c:v>
                </c:pt>
                <c:pt idx="20">
                  <c:v>143.92160000000001</c:v>
                </c:pt>
                <c:pt idx="21">
                  <c:v>143.92160000000001</c:v>
                </c:pt>
                <c:pt idx="22">
                  <c:v>143.92160000000001</c:v>
                </c:pt>
                <c:pt idx="23">
                  <c:v>143.92160000000001</c:v>
                </c:pt>
                <c:pt idx="24">
                  <c:v>143.92160000000001</c:v>
                </c:pt>
                <c:pt idx="26">
                  <c:v>143.92160000000001</c:v>
                </c:pt>
                <c:pt idx="27">
                  <c:v>143.92160000000001</c:v>
                </c:pt>
                <c:pt idx="28">
                  <c:v>143.92160000000001</c:v>
                </c:pt>
                <c:pt idx="29">
                  <c:v>143.92160000000001</c:v>
                </c:pt>
                <c:pt idx="30">
                  <c:v>143.92160000000001</c:v>
                </c:pt>
                <c:pt idx="31">
                  <c:v>143.92160000000001</c:v>
                </c:pt>
                <c:pt idx="32">
                  <c:v>143.92160000000001</c:v>
                </c:pt>
                <c:pt idx="33">
                  <c:v>143.92160000000001</c:v>
                </c:pt>
                <c:pt idx="34">
                  <c:v>143.92160000000001</c:v>
                </c:pt>
                <c:pt idx="35">
                  <c:v>143.92160000000001</c:v>
                </c:pt>
                <c:pt idx="36">
                  <c:v>143.92160000000001</c:v>
                </c:pt>
                <c:pt idx="37">
                  <c:v>143.92160000000001</c:v>
                </c:pt>
                <c:pt idx="38">
                  <c:v>143.92160000000001</c:v>
                </c:pt>
                <c:pt idx="39">
                  <c:v>143.92160000000001</c:v>
                </c:pt>
                <c:pt idx="40">
                  <c:v>143.92160000000001</c:v>
                </c:pt>
                <c:pt idx="41">
                  <c:v>143.92160000000001</c:v>
                </c:pt>
                <c:pt idx="42">
                  <c:v>143.92160000000001</c:v>
                </c:pt>
                <c:pt idx="43">
                  <c:v>143.92160000000001</c:v>
                </c:pt>
                <c:pt idx="44">
                  <c:v>143.92160000000001</c:v>
                </c:pt>
                <c:pt idx="45">
                  <c:v>143.92160000000001</c:v>
                </c:pt>
                <c:pt idx="46">
                  <c:v>143.92160000000001</c:v>
                </c:pt>
                <c:pt idx="47">
                  <c:v>143.92160000000001</c:v>
                </c:pt>
                <c:pt idx="48">
                  <c:v>143.92160000000001</c:v>
                </c:pt>
                <c:pt idx="49">
                  <c:v>143.92160000000001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BB-4376-B692-512FC51CE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599632"/>
        <c:axId val="611598648"/>
      </c:scatterChart>
      <c:valAx>
        <c:axId val="61159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Distance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Along Transect - ft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598648"/>
        <c:crosses val="autoZero"/>
        <c:crossBetween val="midCat"/>
      </c:valAx>
      <c:valAx>
        <c:axId val="61159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Elevation - ft USGS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599632"/>
        <c:crosses val="autoZero"/>
        <c:crossBetween val="midCat"/>
      </c:valAx>
      <c:spPr>
        <a:noFill/>
        <a:ln>
          <a:solidFill>
            <a:schemeClr val="accent4"/>
          </a:solidFill>
          <a:prstDash val="solid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T2M!$Q$1</c:f>
              <c:strCache>
                <c:ptCount val="1"/>
                <c:pt idx="0">
                  <c:v>Subs Elev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T2M!$P$2:$P$215</c:f>
              <c:strCache>
                <c:ptCount val="59"/>
                <c:pt idx="0">
                  <c:v>2.416666667</c:v>
                </c:pt>
                <c:pt idx="1">
                  <c:v>4.75</c:v>
                </c:pt>
                <c:pt idx="2">
                  <c:v>5.166666667</c:v>
                </c:pt>
                <c:pt idx="3">
                  <c:v>5.416666667</c:v>
                </c:pt>
                <c:pt idx="4">
                  <c:v>5.583333333</c:v>
                </c:pt>
                <c:pt idx="5">
                  <c:v>5.666666667</c:v>
                </c:pt>
                <c:pt idx="6">
                  <c:v>6.083333333</c:v>
                </c:pt>
                <c:pt idx="7">
                  <c:v>6.666666667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8.416666667</c:v>
                </c:pt>
                <c:pt idx="11">
                  <c:v>8.666666667</c:v>
                </c:pt>
                <c:pt idx="12">
                  <c:v>9.458333333</c:v>
                </c:pt>
                <c:pt idx="13">
                  <c:v>9.5</c:v>
                </c:pt>
                <c:pt idx="14">
                  <c:v>10.25</c:v>
                </c:pt>
                <c:pt idx="15">
                  <c:v>11.08333333</c:v>
                </c:pt>
                <c:pt idx="16">
                  <c:v>11.16666667</c:v>
                </c:pt>
                <c:pt idx="17">
                  <c:v>11.83333333</c:v>
                </c:pt>
                <c:pt idx="18">
                  <c:v>12.08333333</c:v>
                </c:pt>
                <c:pt idx="19">
                  <c:v>12.16666667</c:v>
                </c:pt>
                <c:pt idx="20">
                  <c:v>12.25</c:v>
                </c:pt>
                <c:pt idx="21">
                  <c:v>13.08333333</c:v>
                </c:pt>
                <c:pt idx="22">
                  <c:v>13.16666667</c:v>
                </c:pt>
                <c:pt idx="23">
                  <c:v>13.5</c:v>
                </c:pt>
                <c:pt idx="24">
                  <c:v>13.83333333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20.16666667</c:v>
                </c:pt>
                <c:pt idx="29">
                  <c:v>20.25</c:v>
                </c:pt>
                <c:pt idx="30">
                  <c:v>20.41666667</c:v>
                </c:pt>
                <c:pt idx="31">
                  <c:v>21.29166667</c:v>
                </c:pt>
                <c:pt idx="32">
                  <c:v>21.41666667</c:v>
                </c:pt>
                <c:pt idx="33">
                  <c:v>21.5</c:v>
                </c:pt>
                <c:pt idx="34">
                  <c:v>22.83333333</c:v>
                </c:pt>
                <c:pt idx="35">
                  <c:v>23.41666667</c:v>
                </c:pt>
                <c:pt idx="36">
                  <c:v>24</c:v>
                </c:pt>
                <c:pt idx="37">
                  <c:v>24.41666667</c:v>
                </c:pt>
                <c:pt idx="38">
                  <c:v>25.25</c:v>
                </c:pt>
                <c:pt idx="39">
                  <c:v>26.5</c:v>
                </c:pt>
                <c:pt idx="40">
                  <c:v>27.41666667</c:v>
                </c:pt>
                <c:pt idx="41">
                  <c:v>27.75</c:v>
                </c:pt>
                <c:pt idx="42">
                  <c:v>28.66666667</c:v>
                </c:pt>
                <c:pt idx="43">
                  <c:v>29</c:v>
                </c:pt>
                <c:pt idx="44">
                  <c:v>29.08333333</c:v>
                </c:pt>
                <c:pt idx="45">
                  <c:v>29.33333333</c:v>
                </c:pt>
                <c:pt idx="46">
                  <c:v>30.08333333</c:v>
                </c:pt>
                <c:pt idx="47">
                  <c:v>30.16666667</c:v>
                </c:pt>
                <c:pt idx="48">
                  <c:v>30.33333333</c:v>
                </c:pt>
                <c:pt idx="49">
                  <c:v>30.66666667</c:v>
                </c:pt>
                <c:pt idx="50">
                  <c:v>32</c:v>
                </c:pt>
                <c:pt idx="51">
                  <c:v>34.5</c:v>
                </c:pt>
                <c:pt idx="52">
                  <c:v>35.83333333</c:v>
                </c:pt>
                <c:pt idx="54">
                  <c:v>Chan Depth - ft</c:v>
                </c:pt>
                <c:pt idx="55">
                  <c:v>0.74</c:v>
                </c:pt>
                <c:pt idx="56">
                  <c:v>0.91</c:v>
                </c:pt>
                <c:pt idx="57">
                  <c:v>1.27</c:v>
                </c:pt>
                <c:pt idx="58">
                  <c:v>1.35</c:v>
                </c:pt>
              </c:strCache>
            </c:strRef>
          </c:xVal>
          <c:yVal>
            <c:numRef>
              <c:f>T2M!$Q$2:$Q$215</c:f>
              <c:numCache>
                <c:formatCode>General</c:formatCode>
                <c:ptCount val="214"/>
                <c:pt idx="0">
                  <c:v>144.21981059999999</c:v>
                </c:pt>
                <c:pt idx="1">
                  <c:v>143.93981059999999</c:v>
                </c:pt>
                <c:pt idx="2">
                  <c:v>143.5773106</c:v>
                </c:pt>
                <c:pt idx="3">
                  <c:v>143.3598106</c:v>
                </c:pt>
                <c:pt idx="4">
                  <c:v>143.3333400117647</c:v>
                </c:pt>
                <c:pt idx="5">
                  <c:v>143.32010471764707</c:v>
                </c:pt>
                <c:pt idx="6">
                  <c:v>143.25392824705881</c:v>
                </c:pt>
                <c:pt idx="7">
                  <c:v>143.16128118823528</c:v>
                </c:pt>
                <c:pt idx="8">
                  <c:v>143.14804589411764</c:v>
                </c:pt>
                <c:pt idx="9">
                  <c:v>142.90981059999999</c:v>
                </c:pt>
                <c:pt idx="10">
                  <c:v>142.93187956551722</c:v>
                </c:pt>
                <c:pt idx="11">
                  <c:v>142.9649830137931</c:v>
                </c:pt>
                <c:pt idx="12">
                  <c:v>143.06981060000001</c:v>
                </c:pt>
                <c:pt idx="13">
                  <c:v>143.12244217894738</c:v>
                </c:pt>
                <c:pt idx="14">
                  <c:v>144.06981060000001</c:v>
                </c:pt>
                <c:pt idx="15">
                  <c:v>143.90138954736841</c:v>
                </c:pt>
                <c:pt idx="16">
                  <c:v>143.88454744210526</c:v>
                </c:pt>
                <c:pt idx="17">
                  <c:v>143.74981059999999</c:v>
                </c:pt>
                <c:pt idx="18">
                  <c:v>143.11981059999999</c:v>
                </c:pt>
                <c:pt idx="19">
                  <c:v>143.09569295294116</c:v>
                </c:pt>
                <c:pt idx="20">
                  <c:v>143.07157530588233</c:v>
                </c:pt>
                <c:pt idx="21">
                  <c:v>142.83039883529412</c:v>
                </c:pt>
                <c:pt idx="22">
                  <c:v>142.80628118823529</c:v>
                </c:pt>
                <c:pt idx="23">
                  <c:v>142.7098106</c:v>
                </c:pt>
                <c:pt idx="24">
                  <c:v>143.13914393333334</c:v>
                </c:pt>
                <c:pt idx="25">
                  <c:v>144.31981060000001</c:v>
                </c:pt>
                <c:pt idx="26">
                  <c:v>143.78647726666665</c:v>
                </c:pt>
                <c:pt idx="27">
                  <c:v>143.61981059999999</c:v>
                </c:pt>
                <c:pt idx="28">
                  <c:v>143.5198106</c:v>
                </c:pt>
                <c:pt idx="29">
                  <c:v>143.48795874814815</c:v>
                </c:pt>
                <c:pt idx="30">
                  <c:v>143.42425504444444</c:v>
                </c:pt>
                <c:pt idx="31">
                  <c:v>143.08981059999999</c:v>
                </c:pt>
                <c:pt idx="32">
                  <c:v>143.11981059999999</c:v>
                </c:pt>
                <c:pt idx="33">
                  <c:v>143.1398106</c:v>
                </c:pt>
                <c:pt idx="34">
                  <c:v>143.4598106</c:v>
                </c:pt>
                <c:pt idx="35">
                  <c:v>143.59981059999998</c:v>
                </c:pt>
                <c:pt idx="36">
                  <c:v>143.81981060000001</c:v>
                </c:pt>
                <c:pt idx="37">
                  <c:v>143.16981060000001</c:v>
                </c:pt>
                <c:pt idx="38">
                  <c:v>143.12581059999999</c:v>
                </c:pt>
                <c:pt idx="39">
                  <c:v>143.05981059999999</c:v>
                </c:pt>
                <c:pt idx="40">
                  <c:v>143.07673367692306</c:v>
                </c:pt>
                <c:pt idx="41">
                  <c:v>143.08288752307692</c:v>
                </c:pt>
                <c:pt idx="42">
                  <c:v>143.09981059999998</c:v>
                </c:pt>
                <c:pt idx="43">
                  <c:v>143.54481060000001</c:v>
                </c:pt>
                <c:pt idx="44">
                  <c:v>143.65606059999999</c:v>
                </c:pt>
                <c:pt idx="45">
                  <c:v>143.9898106</c:v>
                </c:pt>
                <c:pt idx="46">
                  <c:v>143.6748106</c:v>
                </c:pt>
                <c:pt idx="47">
                  <c:v>143.6398106</c:v>
                </c:pt>
                <c:pt idx="48">
                  <c:v>143.68435605454545</c:v>
                </c:pt>
                <c:pt idx="49">
                  <c:v>143.77344696363636</c:v>
                </c:pt>
                <c:pt idx="50">
                  <c:v>144.12981059999998</c:v>
                </c:pt>
                <c:pt idx="51">
                  <c:v>144.30981059999999</c:v>
                </c:pt>
                <c:pt idx="52">
                  <c:v>144.91981060000001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9-4A69-8792-300D8D276927}"/>
            </c:ext>
          </c:extLst>
        </c:ser>
        <c:ser>
          <c:idx val="1"/>
          <c:order val="1"/>
          <c:tx>
            <c:strRef>
              <c:f>T2M!$T$1</c:f>
              <c:strCache>
                <c:ptCount val="1"/>
                <c:pt idx="0">
                  <c:v>1 W Elev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T2M!$P$2:$P$215</c:f>
              <c:strCache>
                <c:ptCount val="59"/>
                <c:pt idx="0">
                  <c:v>2.416666667</c:v>
                </c:pt>
                <c:pt idx="1">
                  <c:v>4.75</c:v>
                </c:pt>
                <c:pt idx="2">
                  <c:v>5.166666667</c:v>
                </c:pt>
                <c:pt idx="3">
                  <c:v>5.416666667</c:v>
                </c:pt>
                <c:pt idx="4">
                  <c:v>5.583333333</c:v>
                </c:pt>
                <c:pt idx="5">
                  <c:v>5.666666667</c:v>
                </c:pt>
                <c:pt idx="6">
                  <c:v>6.083333333</c:v>
                </c:pt>
                <c:pt idx="7">
                  <c:v>6.666666667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8.416666667</c:v>
                </c:pt>
                <c:pt idx="11">
                  <c:v>8.666666667</c:v>
                </c:pt>
                <c:pt idx="12">
                  <c:v>9.458333333</c:v>
                </c:pt>
                <c:pt idx="13">
                  <c:v>9.5</c:v>
                </c:pt>
                <c:pt idx="14">
                  <c:v>10.25</c:v>
                </c:pt>
                <c:pt idx="15">
                  <c:v>11.08333333</c:v>
                </c:pt>
                <c:pt idx="16">
                  <c:v>11.16666667</c:v>
                </c:pt>
                <c:pt idx="17">
                  <c:v>11.83333333</c:v>
                </c:pt>
                <c:pt idx="18">
                  <c:v>12.08333333</c:v>
                </c:pt>
                <c:pt idx="19">
                  <c:v>12.16666667</c:v>
                </c:pt>
                <c:pt idx="20">
                  <c:v>12.25</c:v>
                </c:pt>
                <c:pt idx="21">
                  <c:v>13.08333333</c:v>
                </c:pt>
                <c:pt idx="22">
                  <c:v>13.16666667</c:v>
                </c:pt>
                <c:pt idx="23">
                  <c:v>13.5</c:v>
                </c:pt>
                <c:pt idx="24">
                  <c:v>13.83333333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20.16666667</c:v>
                </c:pt>
                <c:pt idx="29">
                  <c:v>20.25</c:v>
                </c:pt>
                <c:pt idx="30">
                  <c:v>20.41666667</c:v>
                </c:pt>
                <c:pt idx="31">
                  <c:v>21.29166667</c:v>
                </c:pt>
                <c:pt idx="32">
                  <c:v>21.41666667</c:v>
                </c:pt>
                <c:pt idx="33">
                  <c:v>21.5</c:v>
                </c:pt>
                <c:pt idx="34">
                  <c:v>22.83333333</c:v>
                </c:pt>
                <c:pt idx="35">
                  <c:v>23.41666667</c:v>
                </c:pt>
                <c:pt idx="36">
                  <c:v>24</c:v>
                </c:pt>
                <c:pt idx="37">
                  <c:v>24.41666667</c:v>
                </c:pt>
                <c:pt idx="38">
                  <c:v>25.25</c:v>
                </c:pt>
                <c:pt idx="39">
                  <c:v>26.5</c:v>
                </c:pt>
                <c:pt idx="40">
                  <c:v>27.41666667</c:v>
                </c:pt>
                <c:pt idx="41">
                  <c:v>27.75</c:v>
                </c:pt>
                <c:pt idx="42">
                  <c:v>28.66666667</c:v>
                </c:pt>
                <c:pt idx="43">
                  <c:v>29</c:v>
                </c:pt>
                <c:pt idx="44">
                  <c:v>29.08333333</c:v>
                </c:pt>
                <c:pt idx="45">
                  <c:v>29.33333333</c:v>
                </c:pt>
                <c:pt idx="46">
                  <c:v>30.08333333</c:v>
                </c:pt>
                <c:pt idx="47">
                  <c:v>30.16666667</c:v>
                </c:pt>
                <c:pt idx="48">
                  <c:v>30.33333333</c:v>
                </c:pt>
                <c:pt idx="49">
                  <c:v>30.66666667</c:v>
                </c:pt>
                <c:pt idx="50">
                  <c:v>32</c:v>
                </c:pt>
                <c:pt idx="51">
                  <c:v>34.5</c:v>
                </c:pt>
                <c:pt idx="52">
                  <c:v>35.83333333</c:v>
                </c:pt>
                <c:pt idx="54">
                  <c:v>Chan Depth - ft</c:v>
                </c:pt>
                <c:pt idx="55">
                  <c:v>0.74</c:v>
                </c:pt>
                <c:pt idx="56">
                  <c:v>0.91</c:v>
                </c:pt>
                <c:pt idx="57">
                  <c:v>1.27</c:v>
                </c:pt>
                <c:pt idx="58">
                  <c:v>1.35</c:v>
                </c:pt>
              </c:strCache>
            </c:strRef>
          </c:xVal>
          <c:yVal>
            <c:numRef>
              <c:f>T2M!$T$2:$T$215</c:f>
              <c:numCache>
                <c:formatCode>General</c:formatCode>
                <c:ptCount val="214"/>
                <c:pt idx="2">
                  <c:v>143.64010471764706</c:v>
                </c:pt>
                <c:pt idx="3">
                  <c:v>143.64010471764706</c:v>
                </c:pt>
                <c:pt idx="4">
                  <c:v>143.64010471764706</c:v>
                </c:pt>
                <c:pt idx="5">
                  <c:v>143.64010471764706</c:v>
                </c:pt>
                <c:pt idx="6">
                  <c:v>143.59059491372548</c:v>
                </c:pt>
                <c:pt idx="7">
                  <c:v>143.52128118823529</c:v>
                </c:pt>
                <c:pt idx="8">
                  <c:v>143.52893543096687</c:v>
                </c:pt>
                <c:pt idx="9">
                  <c:v>143.66671180013523</c:v>
                </c:pt>
                <c:pt idx="10">
                  <c:v>143.68202028559838</c:v>
                </c:pt>
                <c:pt idx="11">
                  <c:v>143.70498301379311</c:v>
                </c:pt>
                <c:pt idx="12">
                  <c:v>143.67706324818573</c:v>
                </c:pt>
                <c:pt idx="13">
                  <c:v>143.67559378683796</c:v>
                </c:pt>
                <c:pt idx="17">
                  <c:v>143.59330395136354</c:v>
                </c:pt>
                <c:pt idx="18">
                  <c:v>143.58448718327699</c:v>
                </c:pt>
                <c:pt idx="19">
                  <c:v>143.58154826058149</c:v>
                </c:pt>
                <c:pt idx="20">
                  <c:v>143.57860933788595</c:v>
                </c:pt>
                <c:pt idx="21">
                  <c:v>143.5492201109308</c:v>
                </c:pt>
                <c:pt idx="22">
                  <c:v>143.5462811882353</c:v>
                </c:pt>
                <c:pt idx="23">
                  <c:v>143.53802236470588</c:v>
                </c:pt>
                <c:pt idx="24">
                  <c:v>143.52976354117646</c:v>
                </c:pt>
                <c:pt idx="30">
                  <c:v>143.36665177647058</c:v>
                </c:pt>
                <c:pt idx="31">
                  <c:v>143.34497236470588</c:v>
                </c:pt>
                <c:pt idx="32">
                  <c:v>143.34187530588235</c:v>
                </c:pt>
                <c:pt idx="33">
                  <c:v>143.33981059999999</c:v>
                </c:pt>
                <c:pt idx="34">
                  <c:v>143.40594393333333</c:v>
                </c:pt>
                <c:pt idx="37">
                  <c:v>143.48447726666666</c:v>
                </c:pt>
                <c:pt idx="38">
                  <c:v>143.5258106</c:v>
                </c:pt>
                <c:pt idx="39">
                  <c:v>143.45434906153847</c:v>
                </c:pt>
                <c:pt idx="40">
                  <c:v>143.40194393333334</c:v>
                </c:pt>
                <c:pt idx="41">
                  <c:v>143.38288752307693</c:v>
                </c:pt>
                <c:pt idx="42">
                  <c:v>143.38288752307693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9-4A69-8792-300D8D276927}"/>
            </c:ext>
          </c:extLst>
        </c:ser>
        <c:ser>
          <c:idx val="2"/>
          <c:order val="2"/>
          <c:tx>
            <c:strRef>
              <c:f>T2M!$X$1</c:f>
              <c:strCache>
                <c:ptCount val="1"/>
                <c:pt idx="0">
                  <c:v>2 W Elev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T2M!$P$2:$P$215</c:f>
              <c:strCache>
                <c:ptCount val="59"/>
                <c:pt idx="0">
                  <c:v>2.416666667</c:v>
                </c:pt>
                <c:pt idx="1">
                  <c:v>4.75</c:v>
                </c:pt>
                <c:pt idx="2">
                  <c:v>5.166666667</c:v>
                </c:pt>
                <c:pt idx="3">
                  <c:v>5.416666667</c:v>
                </c:pt>
                <c:pt idx="4">
                  <c:v>5.583333333</c:v>
                </c:pt>
                <c:pt idx="5">
                  <c:v>5.666666667</c:v>
                </c:pt>
                <c:pt idx="6">
                  <c:v>6.083333333</c:v>
                </c:pt>
                <c:pt idx="7">
                  <c:v>6.666666667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8.416666667</c:v>
                </c:pt>
                <c:pt idx="11">
                  <c:v>8.666666667</c:v>
                </c:pt>
                <c:pt idx="12">
                  <c:v>9.458333333</c:v>
                </c:pt>
                <c:pt idx="13">
                  <c:v>9.5</c:v>
                </c:pt>
                <c:pt idx="14">
                  <c:v>10.25</c:v>
                </c:pt>
                <c:pt idx="15">
                  <c:v>11.08333333</c:v>
                </c:pt>
                <c:pt idx="16">
                  <c:v>11.16666667</c:v>
                </c:pt>
                <c:pt idx="17">
                  <c:v>11.83333333</c:v>
                </c:pt>
                <c:pt idx="18">
                  <c:v>12.08333333</c:v>
                </c:pt>
                <c:pt idx="19">
                  <c:v>12.16666667</c:v>
                </c:pt>
                <c:pt idx="20">
                  <c:v>12.25</c:v>
                </c:pt>
                <c:pt idx="21">
                  <c:v>13.08333333</c:v>
                </c:pt>
                <c:pt idx="22">
                  <c:v>13.16666667</c:v>
                </c:pt>
                <c:pt idx="23">
                  <c:v>13.5</c:v>
                </c:pt>
                <c:pt idx="24">
                  <c:v>13.83333333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20.16666667</c:v>
                </c:pt>
                <c:pt idx="29">
                  <c:v>20.25</c:v>
                </c:pt>
                <c:pt idx="30">
                  <c:v>20.41666667</c:v>
                </c:pt>
                <c:pt idx="31">
                  <c:v>21.29166667</c:v>
                </c:pt>
                <c:pt idx="32">
                  <c:v>21.41666667</c:v>
                </c:pt>
                <c:pt idx="33">
                  <c:v>21.5</c:v>
                </c:pt>
                <c:pt idx="34">
                  <c:v>22.83333333</c:v>
                </c:pt>
                <c:pt idx="35">
                  <c:v>23.41666667</c:v>
                </c:pt>
                <c:pt idx="36">
                  <c:v>24</c:v>
                </c:pt>
                <c:pt idx="37">
                  <c:v>24.41666667</c:v>
                </c:pt>
                <c:pt idx="38">
                  <c:v>25.25</c:v>
                </c:pt>
                <c:pt idx="39">
                  <c:v>26.5</c:v>
                </c:pt>
                <c:pt idx="40">
                  <c:v>27.41666667</c:v>
                </c:pt>
                <c:pt idx="41">
                  <c:v>27.75</c:v>
                </c:pt>
                <c:pt idx="42">
                  <c:v>28.66666667</c:v>
                </c:pt>
                <c:pt idx="43">
                  <c:v>29</c:v>
                </c:pt>
                <c:pt idx="44">
                  <c:v>29.08333333</c:v>
                </c:pt>
                <c:pt idx="45">
                  <c:v>29.33333333</c:v>
                </c:pt>
                <c:pt idx="46">
                  <c:v>30.08333333</c:v>
                </c:pt>
                <c:pt idx="47">
                  <c:v>30.16666667</c:v>
                </c:pt>
                <c:pt idx="48">
                  <c:v>30.33333333</c:v>
                </c:pt>
                <c:pt idx="49">
                  <c:v>30.66666667</c:v>
                </c:pt>
                <c:pt idx="50">
                  <c:v>32</c:v>
                </c:pt>
                <c:pt idx="51">
                  <c:v>34.5</c:v>
                </c:pt>
                <c:pt idx="52">
                  <c:v>35.83333333</c:v>
                </c:pt>
                <c:pt idx="54">
                  <c:v>Chan Depth - ft</c:v>
                </c:pt>
                <c:pt idx="55">
                  <c:v>0.74</c:v>
                </c:pt>
                <c:pt idx="56">
                  <c:v>0.91</c:v>
                </c:pt>
                <c:pt idx="57">
                  <c:v>1.27</c:v>
                </c:pt>
                <c:pt idx="58">
                  <c:v>1.35</c:v>
                </c:pt>
              </c:strCache>
            </c:strRef>
          </c:xVal>
          <c:yVal>
            <c:numRef>
              <c:f>T2M!$X$2:$X$215</c:f>
              <c:numCache>
                <c:formatCode>General</c:formatCode>
                <c:ptCount val="214"/>
                <c:pt idx="5">
                  <c:v>143.82010471764707</c:v>
                </c:pt>
                <c:pt idx="6">
                  <c:v>143.76642824705883</c:v>
                </c:pt>
                <c:pt idx="7">
                  <c:v>143.69128118823528</c:v>
                </c:pt>
                <c:pt idx="8">
                  <c:v>143.69851876430019</c:v>
                </c:pt>
                <c:pt idx="9">
                  <c:v>143.82879513346856</c:v>
                </c:pt>
                <c:pt idx="10">
                  <c:v>143.84327028559838</c:v>
                </c:pt>
                <c:pt idx="11">
                  <c:v>143.86498301379311</c:v>
                </c:pt>
                <c:pt idx="12">
                  <c:v>143.83882250744497</c:v>
                </c:pt>
                <c:pt idx="13">
                  <c:v>143.83744563868981</c:v>
                </c:pt>
                <c:pt idx="14">
                  <c:v>143.81266200109684</c:v>
                </c:pt>
                <c:pt idx="17">
                  <c:v>143.76034098840057</c:v>
                </c:pt>
                <c:pt idx="18">
                  <c:v>143.75207977586959</c:v>
                </c:pt>
                <c:pt idx="19">
                  <c:v>143.74932603835924</c:v>
                </c:pt>
                <c:pt idx="20">
                  <c:v>143.74657230084892</c:v>
                </c:pt>
                <c:pt idx="21">
                  <c:v>143.7190349257456</c:v>
                </c:pt>
                <c:pt idx="22">
                  <c:v>143.71628118823529</c:v>
                </c:pt>
                <c:pt idx="23">
                  <c:v>143.71322236470587</c:v>
                </c:pt>
                <c:pt idx="24">
                  <c:v>143.71016354117646</c:v>
                </c:pt>
                <c:pt idx="27">
                  <c:v>143.65357530588236</c:v>
                </c:pt>
                <c:pt idx="28">
                  <c:v>143.65204589411766</c:v>
                </c:pt>
                <c:pt idx="29">
                  <c:v>143.65128118823529</c:v>
                </c:pt>
                <c:pt idx="30">
                  <c:v>143.64975177647059</c:v>
                </c:pt>
                <c:pt idx="31">
                  <c:v>143.64172236470588</c:v>
                </c:pt>
                <c:pt idx="32">
                  <c:v>143.64057530588235</c:v>
                </c:pt>
                <c:pt idx="33">
                  <c:v>143.6398106</c:v>
                </c:pt>
                <c:pt idx="34">
                  <c:v>143.62061059999999</c:v>
                </c:pt>
                <c:pt idx="35">
                  <c:v>143.6122106</c:v>
                </c:pt>
                <c:pt idx="37">
                  <c:v>143.5978106</c:v>
                </c:pt>
                <c:pt idx="38">
                  <c:v>143.5858106</c:v>
                </c:pt>
                <c:pt idx="39">
                  <c:v>143.58434906153846</c:v>
                </c:pt>
                <c:pt idx="40">
                  <c:v>143.58327726666667</c:v>
                </c:pt>
                <c:pt idx="41">
                  <c:v>143.58288752307692</c:v>
                </c:pt>
                <c:pt idx="42">
                  <c:v>144.04569401346151</c:v>
                </c:pt>
                <c:pt idx="43">
                  <c:v>144.2139872826923</c:v>
                </c:pt>
                <c:pt idx="44">
                  <c:v>144.25606059999998</c:v>
                </c:pt>
                <c:pt idx="45">
                  <c:v>143.9898106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89-4A69-8792-300D8D276927}"/>
            </c:ext>
          </c:extLst>
        </c:ser>
        <c:ser>
          <c:idx val="3"/>
          <c:order val="3"/>
          <c:tx>
            <c:strRef>
              <c:f>T2M!$AB$1</c:f>
              <c:strCache>
                <c:ptCount val="1"/>
                <c:pt idx="0">
                  <c:v>3 W Elev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T2M!$P$2:$P$215</c:f>
              <c:strCache>
                <c:ptCount val="59"/>
                <c:pt idx="0">
                  <c:v>2.416666667</c:v>
                </c:pt>
                <c:pt idx="1">
                  <c:v>4.75</c:v>
                </c:pt>
                <c:pt idx="2">
                  <c:v>5.166666667</c:v>
                </c:pt>
                <c:pt idx="3">
                  <c:v>5.416666667</c:v>
                </c:pt>
                <c:pt idx="4">
                  <c:v>5.583333333</c:v>
                </c:pt>
                <c:pt idx="5">
                  <c:v>5.666666667</c:v>
                </c:pt>
                <c:pt idx="6">
                  <c:v>6.083333333</c:v>
                </c:pt>
                <c:pt idx="7">
                  <c:v>6.666666667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8.416666667</c:v>
                </c:pt>
                <c:pt idx="11">
                  <c:v>8.666666667</c:v>
                </c:pt>
                <c:pt idx="12">
                  <c:v>9.458333333</c:v>
                </c:pt>
                <c:pt idx="13">
                  <c:v>9.5</c:v>
                </c:pt>
                <c:pt idx="14">
                  <c:v>10.25</c:v>
                </c:pt>
                <c:pt idx="15">
                  <c:v>11.08333333</c:v>
                </c:pt>
                <c:pt idx="16">
                  <c:v>11.16666667</c:v>
                </c:pt>
                <c:pt idx="17">
                  <c:v>11.83333333</c:v>
                </c:pt>
                <c:pt idx="18">
                  <c:v>12.08333333</c:v>
                </c:pt>
                <c:pt idx="19">
                  <c:v>12.16666667</c:v>
                </c:pt>
                <c:pt idx="20">
                  <c:v>12.25</c:v>
                </c:pt>
                <c:pt idx="21">
                  <c:v>13.08333333</c:v>
                </c:pt>
                <c:pt idx="22">
                  <c:v>13.16666667</c:v>
                </c:pt>
                <c:pt idx="23">
                  <c:v>13.5</c:v>
                </c:pt>
                <c:pt idx="24">
                  <c:v>13.83333333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20.16666667</c:v>
                </c:pt>
                <c:pt idx="29">
                  <c:v>20.25</c:v>
                </c:pt>
                <c:pt idx="30">
                  <c:v>20.41666667</c:v>
                </c:pt>
                <c:pt idx="31">
                  <c:v>21.29166667</c:v>
                </c:pt>
                <c:pt idx="32">
                  <c:v>21.41666667</c:v>
                </c:pt>
                <c:pt idx="33">
                  <c:v>21.5</c:v>
                </c:pt>
                <c:pt idx="34">
                  <c:v>22.83333333</c:v>
                </c:pt>
                <c:pt idx="35">
                  <c:v>23.41666667</c:v>
                </c:pt>
                <c:pt idx="36">
                  <c:v>24</c:v>
                </c:pt>
                <c:pt idx="37">
                  <c:v>24.41666667</c:v>
                </c:pt>
                <c:pt idx="38">
                  <c:v>25.25</c:v>
                </c:pt>
                <c:pt idx="39">
                  <c:v>26.5</c:v>
                </c:pt>
                <c:pt idx="40">
                  <c:v>27.41666667</c:v>
                </c:pt>
                <c:pt idx="41">
                  <c:v>27.75</c:v>
                </c:pt>
                <c:pt idx="42">
                  <c:v>28.66666667</c:v>
                </c:pt>
                <c:pt idx="43">
                  <c:v>29</c:v>
                </c:pt>
                <c:pt idx="44">
                  <c:v>29.08333333</c:v>
                </c:pt>
                <c:pt idx="45">
                  <c:v>29.33333333</c:v>
                </c:pt>
                <c:pt idx="46">
                  <c:v>30.08333333</c:v>
                </c:pt>
                <c:pt idx="47">
                  <c:v>30.16666667</c:v>
                </c:pt>
                <c:pt idx="48">
                  <c:v>30.33333333</c:v>
                </c:pt>
                <c:pt idx="49">
                  <c:v>30.66666667</c:v>
                </c:pt>
                <c:pt idx="50">
                  <c:v>32</c:v>
                </c:pt>
                <c:pt idx="51">
                  <c:v>34.5</c:v>
                </c:pt>
                <c:pt idx="52">
                  <c:v>35.83333333</c:v>
                </c:pt>
                <c:pt idx="54">
                  <c:v>Chan Depth - ft</c:v>
                </c:pt>
                <c:pt idx="55">
                  <c:v>0.74</c:v>
                </c:pt>
                <c:pt idx="56">
                  <c:v>0.91</c:v>
                </c:pt>
                <c:pt idx="57">
                  <c:v>1.27</c:v>
                </c:pt>
                <c:pt idx="58">
                  <c:v>1.35</c:v>
                </c:pt>
              </c:strCache>
            </c:strRef>
          </c:xVal>
          <c:yVal>
            <c:numRef>
              <c:f>T2M!$AB$2:$AB$215</c:f>
              <c:numCache>
                <c:formatCode>General</c:formatCode>
                <c:ptCount val="214"/>
                <c:pt idx="2">
                  <c:v>143.77731059999999</c:v>
                </c:pt>
                <c:pt idx="3">
                  <c:v>143.9309282470588</c:v>
                </c:pt>
                <c:pt idx="4">
                  <c:v>144.03334001176469</c:v>
                </c:pt>
                <c:pt idx="5">
                  <c:v>144.02010471764703</c:v>
                </c:pt>
                <c:pt idx="6">
                  <c:v>143.9539282470588</c:v>
                </c:pt>
                <c:pt idx="7">
                  <c:v>143.91378118823528</c:v>
                </c:pt>
                <c:pt idx="8">
                  <c:v>143.90804589411763</c:v>
                </c:pt>
                <c:pt idx="9">
                  <c:v>144.01949619837725</c:v>
                </c:pt>
                <c:pt idx="10">
                  <c:v>144.03187956551722</c:v>
                </c:pt>
                <c:pt idx="11">
                  <c:v>144.02970170707803</c:v>
                </c:pt>
                <c:pt idx="12">
                  <c:v>144.02280515535392</c:v>
                </c:pt>
                <c:pt idx="13">
                  <c:v>144.02244217894739</c:v>
                </c:pt>
                <c:pt idx="14">
                  <c:v>144.02338954736842</c:v>
                </c:pt>
                <c:pt idx="15">
                  <c:v>144.02444217894734</c:v>
                </c:pt>
                <c:pt idx="16">
                  <c:v>144.02454744210524</c:v>
                </c:pt>
                <c:pt idx="17">
                  <c:v>143.64531111599587</c:v>
                </c:pt>
                <c:pt idx="18">
                  <c:v>143.50309749370484</c:v>
                </c:pt>
                <c:pt idx="19">
                  <c:v>143.45569295294118</c:v>
                </c:pt>
                <c:pt idx="20">
                  <c:v>143.97157530588234</c:v>
                </c:pt>
                <c:pt idx="21">
                  <c:v>143.90039883529411</c:v>
                </c:pt>
                <c:pt idx="22">
                  <c:v>143.95692606840959</c:v>
                </c:pt>
                <c:pt idx="23">
                  <c:v>144.18303500087146</c:v>
                </c:pt>
                <c:pt idx="24">
                  <c:v>144.40914393333335</c:v>
                </c:pt>
                <c:pt idx="26">
                  <c:v>143.78647726666665</c:v>
                </c:pt>
                <c:pt idx="27">
                  <c:v>143.70437850123454</c:v>
                </c:pt>
                <c:pt idx="28">
                  <c:v>143.69343199917694</c:v>
                </c:pt>
                <c:pt idx="29">
                  <c:v>143.68795874814813</c:v>
                </c:pt>
                <c:pt idx="30">
                  <c:v>143.92425504444444</c:v>
                </c:pt>
                <c:pt idx="31">
                  <c:v>143.85036615555555</c:v>
                </c:pt>
                <c:pt idx="32">
                  <c:v>143.83981059999999</c:v>
                </c:pt>
                <c:pt idx="33">
                  <c:v>143.82922236470588</c:v>
                </c:pt>
                <c:pt idx="34">
                  <c:v>143.65981059999999</c:v>
                </c:pt>
                <c:pt idx="35">
                  <c:v>143.67469171888109</c:v>
                </c:pt>
                <c:pt idx="36">
                  <c:v>143.68957283776223</c:v>
                </c:pt>
                <c:pt idx="37">
                  <c:v>143.7002022083916</c:v>
                </c:pt>
                <c:pt idx="38">
                  <c:v>143.72146094965032</c:v>
                </c:pt>
                <c:pt idx="39">
                  <c:v>143.75334906153844</c:v>
                </c:pt>
                <c:pt idx="40">
                  <c:v>143.77673367692304</c:v>
                </c:pt>
                <c:pt idx="41">
                  <c:v>143.87527618704451</c:v>
                </c:pt>
                <c:pt idx="42">
                  <c:v>144.14626808987853</c:v>
                </c:pt>
                <c:pt idx="43">
                  <c:v>144.24481059999999</c:v>
                </c:pt>
                <c:pt idx="44">
                  <c:v>144.20096444615385</c:v>
                </c:pt>
                <c:pt idx="45">
                  <c:v>144.06942598461538</c:v>
                </c:pt>
                <c:pt idx="46">
                  <c:v>143.6748106</c:v>
                </c:pt>
                <c:pt idx="47">
                  <c:v>143.75799241818183</c:v>
                </c:pt>
                <c:pt idx="48">
                  <c:v>143.92435605454546</c:v>
                </c:pt>
                <c:pt idx="49">
                  <c:v>143.77344696363636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89-4A69-8792-300D8D276927}"/>
            </c:ext>
          </c:extLst>
        </c:ser>
        <c:ser>
          <c:idx val="4"/>
          <c:order val="4"/>
          <c:tx>
            <c:strRef>
              <c:f>T2M!$AF$1</c:f>
              <c:strCache>
                <c:ptCount val="1"/>
                <c:pt idx="0">
                  <c:v>4 W Elev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T2M!$P$2:$P$215</c:f>
              <c:strCache>
                <c:ptCount val="59"/>
                <c:pt idx="0">
                  <c:v>2.416666667</c:v>
                </c:pt>
                <c:pt idx="1">
                  <c:v>4.75</c:v>
                </c:pt>
                <c:pt idx="2">
                  <c:v>5.166666667</c:v>
                </c:pt>
                <c:pt idx="3">
                  <c:v>5.416666667</c:v>
                </c:pt>
                <c:pt idx="4">
                  <c:v>5.583333333</c:v>
                </c:pt>
                <c:pt idx="5">
                  <c:v>5.666666667</c:v>
                </c:pt>
                <c:pt idx="6">
                  <c:v>6.083333333</c:v>
                </c:pt>
                <c:pt idx="7">
                  <c:v>6.666666667</c:v>
                </c:pt>
                <c:pt idx="8">
                  <c:v>6.75</c:v>
                </c:pt>
                <c:pt idx="9">
                  <c:v>8.25</c:v>
                </c:pt>
                <c:pt idx="10">
                  <c:v>8.416666667</c:v>
                </c:pt>
                <c:pt idx="11">
                  <c:v>8.666666667</c:v>
                </c:pt>
                <c:pt idx="12">
                  <c:v>9.458333333</c:v>
                </c:pt>
                <c:pt idx="13">
                  <c:v>9.5</c:v>
                </c:pt>
                <c:pt idx="14">
                  <c:v>10.25</c:v>
                </c:pt>
                <c:pt idx="15">
                  <c:v>11.08333333</c:v>
                </c:pt>
                <c:pt idx="16">
                  <c:v>11.16666667</c:v>
                </c:pt>
                <c:pt idx="17">
                  <c:v>11.83333333</c:v>
                </c:pt>
                <c:pt idx="18">
                  <c:v>12.08333333</c:v>
                </c:pt>
                <c:pt idx="19">
                  <c:v>12.16666667</c:v>
                </c:pt>
                <c:pt idx="20">
                  <c:v>12.25</c:v>
                </c:pt>
                <c:pt idx="21">
                  <c:v>13.08333333</c:v>
                </c:pt>
                <c:pt idx="22">
                  <c:v>13.16666667</c:v>
                </c:pt>
                <c:pt idx="23">
                  <c:v>13.5</c:v>
                </c:pt>
                <c:pt idx="24">
                  <c:v>13.83333333</c:v>
                </c:pt>
                <c:pt idx="25">
                  <c:v>14.75</c:v>
                </c:pt>
                <c:pt idx="26">
                  <c:v>18.75</c:v>
                </c:pt>
                <c:pt idx="27">
                  <c:v>20</c:v>
                </c:pt>
                <c:pt idx="28">
                  <c:v>20.16666667</c:v>
                </c:pt>
                <c:pt idx="29">
                  <c:v>20.25</c:v>
                </c:pt>
                <c:pt idx="30">
                  <c:v>20.41666667</c:v>
                </c:pt>
                <c:pt idx="31">
                  <c:v>21.29166667</c:v>
                </c:pt>
                <c:pt idx="32">
                  <c:v>21.41666667</c:v>
                </c:pt>
                <c:pt idx="33">
                  <c:v>21.5</c:v>
                </c:pt>
                <c:pt idx="34">
                  <c:v>22.83333333</c:v>
                </c:pt>
                <c:pt idx="35">
                  <c:v>23.41666667</c:v>
                </c:pt>
                <c:pt idx="36">
                  <c:v>24</c:v>
                </c:pt>
                <c:pt idx="37">
                  <c:v>24.41666667</c:v>
                </c:pt>
                <c:pt idx="38">
                  <c:v>25.25</c:v>
                </c:pt>
                <c:pt idx="39">
                  <c:v>26.5</c:v>
                </c:pt>
                <c:pt idx="40">
                  <c:v>27.41666667</c:v>
                </c:pt>
                <c:pt idx="41">
                  <c:v>27.75</c:v>
                </c:pt>
                <c:pt idx="42">
                  <c:v>28.66666667</c:v>
                </c:pt>
                <c:pt idx="43">
                  <c:v>29</c:v>
                </c:pt>
                <c:pt idx="44">
                  <c:v>29.08333333</c:v>
                </c:pt>
                <c:pt idx="45">
                  <c:v>29.33333333</c:v>
                </c:pt>
                <c:pt idx="46">
                  <c:v>30.08333333</c:v>
                </c:pt>
                <c:pt idx="47">
                  <c:v>30.16666667</c:v>
                </c:pt>
                <c:pt idx="48">
                  <c:v>30.33333333</c:v>
                </c:pt>
                <c:pt idx="49">
                  <c:v>30.66666667</c:v>
                </c:pt>
                <c:pt idx="50">
                  <c:v>32</c:v>
                </c:pt>
                <c:pt idx="51">
                  <c:v>34.5</c:v>
                </c:pt>
                <c:pt idx="52">
                  <c:v>35.83333333</c:v>
                </c:pt>
                <c:pt idx="54">
                  <c:v>Chan Depth - ft</c:v>
                </c:pt>
                <c:pt idx="55">
                  <c:v>0.74</c:v>
                </c:pt>
                <c:pt idx="56">
                  <c:v>0.91</c:v>
                </c:pt>
                <c:pt idx="57">
                  <c:v>1.27</c:v>
                </c:pt>
                <c:pt idx="58">
                  <c:v>1.35</c:v>
                </c:pt>
              </c:strCache>
            </c:strRef>
          </c:xVal>
          <c:yVal>
            <c:numRef>
              <c:f>T2M!$AF$2:$AF$215</c:f>
              <c:numCache>
                <c:formatCode>General</c:formatCode>
                <c:ptCount val="214"/>
                <c:pt idx="1">
                  <c:v>144.13981059999998</c:v>
                </c:pt>
                <c:pt idx="2">
                  <c:v>144.18981059999999</c:v>
                </c:pt>
                <c:pt idx="3">
                  <c:v>144.21981060000002</c:v>
                </c:pt>
                <c:pt idx="4">
                  <c:v>144.18800667843138</c:v>
                </c:pt>
                <c:pt idx="5">
                  <c:v>144.17210471764707</c:v>
                </c:pt>
                <c:pt idx="6">
                  <c:v>144.09259491372549</c:v>
                </c:pt>
                <c:pt idx="7">
                  <c:v>143.98128118823527</c:v>
                </c:pt>
                <c:pt idx="8">
                  <c:v>143.99518543096684</c:v>
                </c:pt>
                <c:pt idx="9">
                  <c:v>144.24546180013522</c:v>
                </c:pt>
                <c:pt idx="10">
                  <c:v>144.27327028559836</c:v>
                </c:pt>
                <c:pt idx="11">
                  <c:v>144.3149830137931</c:v>
                </c:pt>
                <c:pt idx="12">
                  <c:v>144.2777713609988</c:v>
                </c:pt>
                <c:pt idx="13">
                  <c:v>144.27581285295699</c:v>
                </c:pt>
                <c:pt idx="14">
                  <c:v>144.24055970820453</c:v>
                </c:pt>
                <c:pt idx="15">
                  <c:v>144.20138954736842</c:v>
                </c:pt>
                <c:pt idx="16">
                  <c:v>144.17758521300308</c:v>
                </c:pt>
                <c:pt idx="17">
                  <c:v>143.9871505380805</c:v>
                </c:pt>
                <c:pt idx="18">
                  <c:v>143.91573753498452</c:v>
                </c:pt>
                <c:pt idx="19">
                  <c:v>143.89193320061921</c:v>
                </c:pt>
                <c:pt idx="20">
                  <c:v>143.86812886625387</c:v>
                </c:pt>
                <c:pt idx="21">
                  <c:v>143.63008552260064</c:v>
                </c:pt>
                <c:pt idx="22">
                  <c:v>143.6062811882353</c:v>
                </c:pt>
                <c:pt idx="23">
                  <c:v>143.6156223647059</c:v>
                </c:pt>
                <c:pt idx="24">
                  <c:v>143.62496354117647</c:v>
                </c:pt>
                <c:pt idx="26">
                  <c:v>143.76274589411764</c:v>
                </c:pt>
                <c:pt idx="27">
                  <c:v>143.79777530588234</c:v>
                </c:pt>
                <c:pt idx="28">
                  <c:v>143.80244589411765</c:v>
                </c:pt>
                <c:pt idx="29">
                  <c:v>143.8047811882353</c:v>
                </c:pt>
                <c:pt idx="30">
                  <c:v>143.80945177647058</c:v>
                </c:pt>
                <c:pt idx="31">
                  <c:v>143.83397236470589</c:v>
                </c:pt>
                <c:pt idx="32">
                  <c:v>143.83747530588235</c:v>
                </c:pt>
                <c:pt idx="33">
                  <c:v>143.83981059999999</c:v>
                </c:pt>
                <c:pt idx="34">
                  <c:v>143.94149948888889</c:v>
                </c:pt>
                <c:pt idx="35">
                  <c:v>143.98598837777777</c:v>
                </c:pt>
                <c:pt idx="36">
                  <c:v>144.03047726666665</c:v>
                </c:pt>
                <c:pt idx="37">
                  <c:v>144.06225504444444</c:v>
                </c:pt>
                <c:pt idx="38">
                  <c:v>144.12581059999999</c:v>
                </c:pt>
                <c:pt idx="39">
                  <c:v>144.10434906153847</c:v>
                </c:pt>
                <c:pt idx="40">
                  <c:v>144.08861060000001</c:v>
                </c:pt>
                <c:pt idx="41">
                  <c:v>144.08288752307692</c:v>
                </c:pt>
                <c:pt idx="42">
                  <c:v>144.02861696604774</c:v>
                </c:pt>
                <c:pt idx="43">
                  <c:v>144.00888221803714</c:v>
                </c:pt>
                <c:pt idx="44">
                  <c:v>144.0039485310345</c:v>
                </c:pt>
                <c:pt idx="45">
                  <c:v>143.98914747002652</c:v>
                </c:pt>
                <c:pt idx="46">
                  <c:v>143.94474428700266</c:v>
                </c:pt>
                <c:pt idx="47">
                  <c:v>143.93981060000002</c:v>
                </c:pt>
                <c:pt idx="48">
                  <c:v>143.94474428700266</c:v>
                </c:pt>
                <c:pt idx="49">
                  <c:v>143.94474428700266</c:v>
                </c:pt>
                <c:pt idx="50">
                  <c:v>143.94474428700266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89-4A69-8792-300D8D276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633608"/>
        <c:axId val="605632952"/>
      </c:scatterChart>
      <c:valAx>
        <c:axId val="605633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632952"/>
        <c:crosses val="autoZero"/>
        <c:crossBetween val="midCat"/>
      </c:valAx>
      <c:valAx>
        <c:axId val="60563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63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T3M!$Q$1</c:f>
              <c:strCache>
                <c:ptCount val="1"/>
                <c:pt idx="0">
                  <c:v>Subs Elev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T3M!$P$2:$P$214</c:f>
              <c:strCache>
                <c:ptCount val="65"/>
                <c:pt idx="0">
                  <c:v>9</c:v>
                </c:pt>
                <c:pt idx="1">
                  <c:v>10.16666667</c:v>
                </c:pt>
                <c:pt idx="2">
                  <c:v>10.66666667</c:v>
                </c:pt>
                <c:pt idx="3">
                  <c:v>11.33333333</c:v>
                </c:pt>
                <c:pt idx="4">
                  <c:v>13.33333333</c:v>
                </c:pt>
                <c:pt idx="5">
                  <c:v>14.41666667</c:v>
                </c:pt>
                <c:pt idx="6">
                  <c:v>15.83333333</c:v>
                </c:pt>
                <c:pt idx="7">
                  <c:v>16.66666667</c:v>
                </c:pt>
                <c:pt idx="8">
                  <c:v>16.91666667</c:v>
                </c:pt>
                <c:pt idx="9">
                  <c:v>17.75</c:v>
                </c:pt>
                <c:pt idx="10">
                  <c:v>19.08333333</c:v>
                </c:pt>
                <c:pt idx="11">
                  <c:v>19.41666667</c:v>
                </c:pt>
                <c:pt idx="12">
                  <c:v>20.33333333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22.91666667</c:v>
                </c:pt>
                <c:pt idx="17">
                  <c:v>23</c:v>
                </c:pt>
                <c:pt idx="18">
                  <c:v>23.08333333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24.91666667</c:v>
                </c:pt>
                <c:pt idx="24">
                  <c:v>25.25</c:v>
                </c:pt>
                <c:pt idx="25">
                  <c:v>25.33333333</c:v>
                </c:pt>
                <c:pt idx="26">
                  <c:v>25.66666667</c:v>
                </c:pt>
                <c:pt idx="27">
                  <c:v>25.75</c:v>
                </c:pt>
                <c:pt idx="28">
                  <c:v>26.33333333</c:v>
                </c:pt>
                <c:pt idx="29">
                  <c:v>26.58333333</c:v>
                </c:pt>
                <c:pt idx="30">
                  <c:v>26.83333333</c:v>
                </c:pt>
                <c:pt idx="31">
                  <c:v>27.41666667</c:v>
                </c:pt>
                <c:pt idx="32">
                  <c:v>27.91666667</c:v>
                </c:pt>
                <c:pt idx="33">
                  <c:v>28</c:v>
                </c:pt>
                <c:pt idx="34">
                  <c:v>28.33333333</c:v>
                </c:pt>
                <c:pt idx="35">
                  <c:v>28.41666667</c:v>
                </c:pt>
                <c:pt idx="36">
                  <c:v>28.91666667</c:v>
                </c:pt>
                <c:pt idx="37">
                  <c:v>29</c:v>
                </c:pt>
                <c:pt idx="38">
                  <c:v>29.91666667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</c:v>
                </c:pt>
                <c:pt idx="43">
                  <c:v>32</c:v>
                </c:pt>
                <c:pt idx="44">
                  <c:v>32.66666667</c:v>
                </c:pt>
                <c:pt idx="45">
                  <c:v>33.66666667</c:v>
                </c:pt>
                <c:pt idx="46">
                  <c:v>33.83333333</c:v>
                </c:pt>
                <c:pt idx="47">
                  <c:v>34.16666667</c:v>
                </c:pt>
                <c:pt idx="48">
                  <c:v>34.33333333</c:v>
                </c:pt>
                <c:pt idx="49">
                  <c:v>35.25</c:v>
                </c:pt>
                <c:pt idx="50">
                  <c:v>35.33333333</c:v>
                </c:pt>
                <c:pt idx="51">
                  <c:v>36.33333333</c:v>
                </c:pt>
                <c:pt idx="52">
                  <c:v>36.41666667</c:v>
                </c:pt>
                <c:pt idx="53">
                  <c:v>36.83333333</c:v>
                </c:pt>
                <c:pt idx="54">
                  <c:v>37</c:v>
                </c:pt>
                <c:pt idx="55">
                  <c:v>40.33333333</c:v>
                </c:pt>
                <c:pt idx="56">
                  <c:v>41.5</c:v>
                </c:pt>
                <c:pt idx="57">
                  <c:v>43.41666667</c:v>
                </c:pt>
                <c:pt idx="58">
                  <c:v>45.83333333</c:v>
                </c:pt>
                <c:pt idx="60">
                  <c:v>Chan Depth - ft</c:v>
                </c:pt>
                <c:pt idx="61">
                  <c:v>0.8</c:v>
                </c:pt>
                <c:pt idx="62">
                  <c:v>0.95</c:v>
                </c:pt>
                <c:pt idx="63">
                  <c:v>1.23</c:v>
                </c:pt>
                <c:pt idx="64">
                  <c:v>1.34</c:v>
                </c:pt>
              </c:strCache>
            </c:strRef>
          </c:xVal>
          <c:yVal>
            <c:numRef>
              <c:f>T3M!$Q$2:$Q$214</c:f>
              <c:numCache>
                <c:formatCode>General</c:formatCode>
                <c:ptCount val="213"/>
                <c:pt idx="0">
                  <c:v>125.91797377631654</c:v>
                </c:pt>
                <c:pt idx="1">
                  <c:v>125.94797377631654</c:v>
                </c:pt>
                <c:pt idx="2">
                  <c:v>126.24797377631654</c:v>
                </c:pt>
                <c:pt idx="3">
                  <c:v>125.58797377631655</c:v>
                </c:pt>
                <c:pt idx="4">
                  <c:v>125.39797377631655</c:v>
                </c:pt>
                <c:pt idx="5">
                  <c:v>125.97797377631655</c:v>
                </c:pt>
                <c:pt idx="6">
                  <c:v>125.07797377631654</c:v>
                </c:pt>
                <c:pt idx="7">
                  <c:v>124.96258916093193</c:v>
                </c:pt>
                <c:pt idx="8">
                  <c:v>124.92797377631655</c:v>
                </c:pt>
                <c:pt idx="9">
                  <c:v>125.46797377631654</c:v>
                </c:pt>
                <c:pt idx="10">
                  <c:v>124.13997377631655</c:v>
                </c:pt>
                <c:pt idx="11">
                  <c:v>123.80797377631654</c:v>
                </c:pt>
                <c:pt idx="12">
                  <c:v>124.01060535526391</c:v>
                </c:pt>
                <c:pt idx="13">
                  <c:v>124.04744746052707</c:v>
                </c:pt>
                <c:pt idx="14">
                  <c:v>124.15797377631654</c:v>
                </c:pt>
                <c:pt idx="15">
                  <c:v>124.60797377631654</c:v>
                </c:pt>
                <c:pt idx="16">
                  <c:v>124.02130710964987</c:v>
                </c:pt>
                <c:pt idx="17">
                  <c:v>123.96797377631654</c:v>
                </c:pt>
                <c:pt idx="18">
                  <c:v>124.08130710964987</c:v>
                </c:pt>
                <c:pt idx="19">
                  <c:v>124.64797377631655</c:v>
                </c:pt>
                <c:pt idx="20">
                  <c:v>125.32797377631654</c:v>
                </c:pt>
                <c:pt idx="21">
                  <c:v>124.55342832177108</c:v>
                </c:pt>
                <c:pt idx="22">
                  <c:v>124.16615559449836</c:v>
                </c:pt>
                <c:pt idx="23">
                  <c:v>123.90797377631654</c:v>
                </c:pt>
                <c:pt idx="24">
                  <c:v>123.89397377631654</c:v>
                </c:pt>
                <c:pt idx="25">
                  <c:v>123.89047377631654</c:v>
                </c:pt>
                <c:pt idx="26">
                  <c:v>123.87647377631654</c:v>
                </c:pt>
                <c:pt idx="27">
                  <c:v>123.87297377631654</c:v>
                </c:pt>
                <c:pt idx="28">
                  <c:v>123.84847377631654</c:v>
                </c:pt>
                <c:pt idx="29">
                  <c:v>123.83797377631655</c:v>
                </c:pt>
                <c:pt idx="30">
                  <c:v>123.78503259984596</c:v>
                </c:pt>
                <c:pt idx="31">
                  <c:v>123.66150318808126</c:v>
                </c:pt>
                <c:pt idx="32">
                  <c:v>123.55562083514008</c:v>
                </c:pt>
                <c:pt idx="33">
                  <c:v>123.53797377631655</c:v>
                </c:pt>
                <c:pt idx="34">
                  <c:v>123.54730710964988</c:v>
                </c:pt>
                <c:pt idx="35">
                  <c:v>123.54964044298322</c:v>
                </c:pt>
                <c:pt idx="36">
                  <c:v>123.56364044298321</c:v>
                </c:pt>
                <c:pt idx="37">
                  <c:v>123.56597377631654</c:v>
                </c:pt>
                <c:pt idx="38">
                  <c:v>123.59164044298321</c:v>
                </c:pt>
                <c:pt idx="39">
                  <c:v>123.59397377631655</c:v>
                </c:pt>
                <c:pt idx="40">
                  <c:v>123.60797377631654</c:v>
                </c:pt>
                <c:pt idx="41">
                  <c:v>123.59822377631654</c:v>
                </c:pt>
                <c:pt idx="42">
                  <c:v>123.58522377631654</c:v>
                </c:pt>
                <c:pt idx="43">
                  <c:v>123.54947377631655</c:v>
                </c:pt>
                <c:pt idx="44">
                  <c:v>123.52347377631655</c:v>
                </c:pt>
                <c:pt idx="45">
                  <c:v>123.48447377631655</c:v>
                </c:pt>
                <c:pt idx="46">
                  <c:v>123.47797377631655</c:v>
                </c:pt>
                <c:pt idx="47">
                  <c:v>123.48686266520544</c:v>
                </c:pt>
                <c:pt idx="48">
                  <c:v>123.49130710964988</c:v>
                </c:pt>
                <c:pt idx="49">
                  <c:v>123.51575155409432</c:v>
                </c:pt>
                <c:pt idx="50">
                  <c:v>123.51797377631655</c:v>
                </c:pt>
                <c:pt idx="51">
                  <c:v>123.78797377631655</c:v>
                </c:pt>
                <c:pt idx="52">
                  <c:v>123.93172377631655</c:v>
                </c:pt>
                <c:pt idx="53">
                  <c:v>124.65047377631655</c:v>
                </c:pt>
                <c:pt idx="54">
                  <c:v>124.93797377631654</c:v>
                </c:pt>
                <c:pt idx="55">
                  <c:v>125.10797377631654</c:v>
                </c:pt>
                <c:pt idx="56">
                  <c:v>126.68797377631654</c:v>
                </c:pt>
                <c:pt idx="57">
                  <c:v>126.62797377631655</c:v>
                </c:pt>
                <c:pt idx="58">
                  <c:v>128.05797377631654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A2-46BC-969A-B1F264C15DDA}"/>
            </c:ext>
          </c:extLst>
        </c:ser>
        <c:ser>
          <c:idx val="1"/>
          <c:order val="1"/>
          <c:tx>
            <c:strRef>
              <c:f>T3M!$T$1</c:f>
              <c:strCache>
                <c:ptCount val="1"/>
                <c:pt idx="0">
                  <c:v>1 W Elev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T3M!$P$2:$P$214</c:f>
              <c:strCache>
                <c:ptCount val="65"/>
                <c:pt idx="0">
                  <c:v>9</c:v>
                </c:pt>
                <c:pt idx="1">
                  <c:v>10.16666667</c:v>
                </c:pt>
                <c:pt idx="2">
                  <c:v>10.66666667</c:v>
                </c:pt>
                <c:pt idx="3">
                  <c:v>11.33333333</c:v>
                </c:pt>
                <c:pt idx="4">
                  <c:v>13.33333333</c:v>
                </c:pt>
                <c:pt idx="5">
                  <c:v>14.41666667</c:v>
                </c:pt>
                <c:pt idx="6">
                  <c:v>15.83333333</c:v>
                </c:pt>
                <c:pt idx="7">
                  <c:v>16.66666667</c:v>
                </c:pt>
                <c:pt idx="8">
                  <c:v>16.91666667</c:v>
                </c:pt>
                <c:pt idx="9">
                  <c:v>17.75</c:v>
                </c:pt>
                <c:pt idx="10">
                  <c:v>19.08333333</c:v>
                </c:pt>
                <c:pt idx="11">
                  <c:v>19.41666667</c:v>
                </c:pt>
                <c:pt idx="12">
                  <c:v>20.33333333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22.91666667</c:v>
                </c:pt>
                <c:pt idx="17">
                  <c:v>23</c:v>
                </c:pt>
                <c:pt idx="18">
                  <c:v>23.08333333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24.91666667</c:v>
                </c:pt>
                <c:pt idx="24">
                  <c:v>25.25</c:v>
                </c:pt>
                <c:pt idx="25">
                  <c:v>25.33333333</c:v>
                </c:pt>
                <c:pt idx="26">
                  <c:v>25.66666667</c:v>
                </c:pt>
                <c:pt idx="27">
                  <c:v>25.75</c:v>
                </c:pt>
                <c:pt idx="28">
                  <c:v>26.33333333</c:v>
                </c:pt>
                <c:pt idx="29">
                  <c:v>26.58333333</c:v>
                </c:pt>
                <c:pt idx="30">
                  <c:v>26.83333333</c:v>
                </c:pt>
                <c:pt idx="31">
                  <c:v>27.41666667</c:v>
                </c:pt>
                <c:pt idx="32">
                  <c:v>27.91666667</c:v>
                </c:pt>
                <c:pt idx="33">
                  <c:v>28</c:v>
                </c:pt>
                <c:pt idx="34">
                  <c:v>28.33333333</c:v>
                </c:pt>
                <c:pt idx="35">
                  <c:v>28.41666667</c:v>
                </c:pt>
                <c:pt idx="36">
                  <c:v>28.91666667</c:v>
                </c:pt>
                <c:pt idx="37">
                  <c:v>29</c:v>
                </c:pt>
                <c:pt idx="38">
                  <c:v>29.91666667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</c:v>
                </c:pt>
                <c:pt idx="43">
                  <c:v>32</c:v>
                </c:pt>
                <c:pt idx="44">
                  <c:v>32.66666667</c:v>
                </c:pt>
                <c:pt idx="45">
                  <c:v>33.66666667</c:v>
                </c:pt>
                <c:pt idx="46">
                  <c:v>33.83333333</c:v>
                </c:pt>
                <c:pt idx="47">
                  <c:v>34.16666667</c:v>
                </c:pt>
                <c:pt idx="48">
                  <c:v>34.33333333</c:v>
                </c:pt>
                <c:pt idx="49">
                  <c:v>35.25</c:v>
                </c:pt>
                <c:pt idx="50">
                  <c:v>35.33333333</c:v>
                </c:pt>
                <c:pt idx="51">
                  <c:v>36.33333333</c:v>
                </c:pt>
                <c:pt idx="52">
                  <c:v>36.41666667</c:v>
                </c:pt>
                <c:pt idx="53">
                  <c:v>36.83333333</c:v>
                </c:pt>
                <c:pt idx="54">
                  <c:v>37</c:v>
                </c:pt>
                <c:pt idx="55">
                  <c:v>40.33333333</c:v>
                </c:pt>
                <c:pt idx="56">
                  <c:v>41.5</c:v>
                </c:pt>
                <c:pt idx="57">
                  <c:v>43.41666667</c:v>
                </c:pt>
                <c:pt idx="58">
                  <c:v>45.83333333</c:v>
                </c:pt>
                <c:pt idx="60">
                  <c:v>Chan Depth - ft</c:v>
                </c:pt>
                <c:pt idx="61">
                  <c:v>0.8</c:v>
                </c:pt>
                <c:pt idx="62">
                  <c:v>0.95</c:v>
                </c:pt>
                <c:pt idx="63">
                  <c:v>1.23</c:v>
                </c:pt>
                <c:pt idx="64">
                  <c:v>1.34</c:v>
                </c:pt>
              </c:strCache>
            </c:strRef>
          </c:xVal>
          <c:yVal>
            <c:numRef>
              <c:f>T3M!$T$2:$T$214</c:f>
              <c:numCache>
                <c:formatCode>General</c:formatCode>
                <c:ptCount val="213"/>
                <c:pt idx="10">
                  <c:v>124.93997377631655</c:v>
                </c:pt>
                <c:pt idx="11">
                  <c:v>124.45797377631655</c:v>
                </c:pt>
                <c:pt idx="12">
                  <c:v>124.61829766295621</c:v>
                </c:pt>
                <c:pt idx="13">
                  <c:v>124.64744746052706</c:v>
                </c:pt>
                <c:pt idx="14">
                  <c:v>124.65400094100244</c:v>
                </c:pt>
                <c:pt idx="16">
                  <c:v>124.67912261615807</c:v>
                </c:pt>
                <c:pt idx="17">
                  <c:v>124.68021486290397</c:v>
                </c:pt>
                <c:pt idx="18">
                  <c:v>124.68130710964986</c:v>
                </c:pt>
                <c:pt idx="19">
                  <c:v>124.62751923086199</c:v>
                </c:pt>
                <c:pt idx="21">
                  <c:v>124.49842832177109</c:v>
                </c:pt>
                <c:pt idx="22">
                  <c:v>124.46615559449836</c:v>
                </c:pt>
                <c:pt idx="23">
                  <c:v>124.46729195813472</c:v>
                </c:pt>
                <c:pt idx="24">
                  <c:v>124.46956468540745</c:v>
                </c:pt>
                <c:pt idx="25">
                  <c:v>124.47013286722563</c:v>
                </c:pt>
                <c:pt idx="26">
                  <c:v>124.47240559449835</c:v>
                </c:pt>
                <c:pt idx="27">
                  <c:v>124.47297377631654</c:v>
                </c:pt>
                <c:pt idx="28">
                  <c:v>124.36060952292287</c:v>
                </c:pt>
                <c:pt idx="29">
                  <c:v>124.31245341432559</c:v>
                </c:pt>
                <c:pt idx="30">
                  <c:v>124.26429730572831</c:v>
                </c:pt>
                <c:pt idx="31">
                  <c:v>124.15193305233464</c:v>
                </c:pt>
                <c:pt idx="32">
                  <c:v>124.05562083514008</c:v>
                </c:pt>
                <c:pt idx="33">
                  <c:v>124.05628913579368</c:v>
                </c:pt>
                <c:pt idx="34">
                  <c:v>124.05896233840805</c:v>
                </c:pt>
                <c:pt idx="35">
                  <c:v>124.05963063906165</c:v>
                </c:pt>
                <c:pt idx="36">
                  <c:v>124.06364044298321</c:v>
                </c:pt>
                <c:pt idx="37">
                  <c:v>124.06225155409433</c:v>
                </c:pt>
                <c:pt idx="38">
                  <c:v>124.04697377631655</c:v>
                </c:pt>
                <c:pt idx="39">
                  <c:v>124.04558488742767</c:v>
                </c:pt>
                <c:pt idx="40">
                  <c:v>124.03725155409433</c:v>
                </c:pt>
                <c:pt idx="41">
                  <c:v>124.03308488742766</c:v>
                </c:pt>
                <c:pt idx="42">
                  <c:v>124.0275293318721</c:v>
                </c:pt>
                <c:pt idx="43">
                  <c:v>124.01225155409432</c:v>
                </c:pt>
                <c:pt idx="44">
                  <c:v>124.00114044298321</c:v>
                </c:pt>
                <c:pt idx="45">
                  <c:v>123.98447377631655</c:v>
                </c:pt>
                <c:pt idx="46">
                  <c:v>123.96118210964988</c:v>
                </c:pt>
                <c:pt idx="47">
                  <c:v>123.91459877631655</c:v>
                </c:pt>
                <c:pt idx="48">
                  <c:v>123.89130710964989</c:v>
                </c:pt>
                <c:pt idx="49">
                  <c:v>123.66260710964988</c:v>
                </c:pt>
                <c:pt idx="50">
                  <c:v>123.66260710964988</c:v>
                </c:pt>
                <c:pt idx="51">
                  <c:v>123.66260710964988</c:v>
                </c:pt>
                <c:pt idx="52">
                  <c:v>123.66260710964988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A2-46BC-969A-B1F264C15DDA}"/>
            </c:ext>
          </c:extLst>
        </c:ser>
        <c:ser>
          <c:idx val="2"/>
          <c:order val="2"/>
          <c:tx>
            <c:strRef>
              <c:f>T3M!$X$1</c:f>
              <c:strCache>
                <c:ptCount val="1"/>
                <c:pt idx="0">
                  <c:v>2 W Elev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T3M!$P$2:$P$214</c:f>
              <c:strCache>
                <c:ptCount val="65"/>
                <c:pt idx="0">
                  <c:v>9</c:v>
                </c:pt>
                <c:pt idx="1">
                  <c:v>10.16666667</c:v>
                </c:pt>
                <c:pt idx="2">
                  <c:v>10.66666667</c:v>
                </c:pt>
                <c:pt idx="3">
                  <c:v>11.33333333</c:v>
                </c:pt>
                <c:pt idx="4">
                  <c:v>13.33333333</c:v>
                </c:pt>
                <c:pt idx="5">
                  <c:v>14.41666667</c:v>
                </c:pt>
                <c:pt idx="6">
                  <c:v>15.83333333</c:v>
                </c:pt>
                <c:pt idx="7">
                  <c:v>16.66666667</c:v>
                </c:pt>
                <c:pt idx="8">
                  <c:v>16.91666667</c:v>
                </c:pt>
                <c:pt idx="9">
                  <c:v>17.75</c:v>
                </c:pt>
                <c:pt idx="10">
                  <c:v>19.08333333</c:v>
                </c:pt>
                <c:pt idx="11">
                  <c:v>19.41666667</c:v>
                </c:pt>
                <c:pt idx="12">
                  <c:v>20.33333333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22.91666667</c:v>
                </c:pt>
                <c:pt idx="17">
                  <c:v>23</c:v>
                </c:pt>
                <c:pt idx="18">
                  <c:v>23.08333333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24.91666667</c:v>
                </c:pt>
                <c:pt idx="24">
                  <c:v>25.25</c:v>
                </c:pt>
                <c:pt idx="25">
                  <c:v>25.33333333</c:v>
                </c:pt>
                <c:pt idx="26">
                  <c:v>25.66666667</c:v>
                </c:pt>
                <c:pt idx="27">
                  <c:v>25.75</c:v>
                </c:pt>
                <c:pt idx="28">
                  <c:v>26.33333333</c:v>
                </c:pt>
                <c:pt idx="29">
                  <c:v>26.58333333</c:v>
                </c:pt>
                <c:pt idx="30">
                  <c:v>26.83333333</c:v>
                </c:pt>
                <c:pt idx="31">
                  <c:v>27.41666667</c:v>
                </c:pt>
                <c:pt idx="32">
                  <c:v>27.91666667</c:v>
                </c:pt>
                <c:pt idx="33">
                  <c:v>28</c:v>
                </c:pt>
                <c:pt idx="34">
                  <c:v>28.33333333</c:v>
                </c:pt>
                <c:pt idx="35">
                  <c:v>28.41666667</c:v>
                </c:pt>
                <c:pt idx="36">
                  <c:v>28.91666667</c:v>
                </c:pt>
                <c:pt idx="37">
                  <c:v>29</c:v>
                </c:pt>
                <c:pt idx="38">
                  <c:v>29.91666667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</c:v>
                </c:pt>
                <c:pt idx="43">
                  <c:v>32</c:v>
                </c:pt>
                <c:pt idx="44">
                  <c:v>32.66666667</c:v>
                </c:pt>
                <c:pt idx="45">
                  <c:v>33.66666667</c:v>
                </c:pt>
                <c:pt idx="46">
                  <c:v>33.83333333</c:v>
                </c:pt>
                <c:pt idx="47">
                  <c:v>34.16666667</c:v>
                </c:pt>
                <c:pt idx="48">
                  <c:v>34.33333333</c:v>
                </c:pt>
                <c:pt idx="49">
                  <c:v>35.25</c:v>
                </c:pt>
                <c:pt idx="50">
                  <c:v>35.33333333</c:v>
                </c:pt>
                <c:pt idx="51">
                  <c:v>36.33333333</c:v>
                </c:pt>
                <c:pt idx="52">
                  <c:v>36.41666667</c:v>
                </c:pt>
                <c:pt idx="53">
                  <c:v>36.83333333</c:v>
                </c:pt>
                <c:pt idx="54">
                  <c:v>37</c:v>
                </c:pt>
                <c:pt idx="55">
                  <c:v>40.33333333</c:v>
                </c:pt>
                <c:pt idx="56">
                  <c:v>41.5</c:v>
                </c:pt>
                <c:pt idx="57">
                  <c:v>43.41666667</c:v>
                </c:pt>
                <c:pt idx="58">
                  <c:v>45.83333333</c:v>
                </c:pt>
                <c:pt idx="60">
                  <c:v>Chan Depth - ft</c:v>
                </c:pt>
                <c:pt idx="61">
                  <c:v>0.8</c:v>
                </c:pt>
                <c:pt idx="62">
                  <c:v>0.95</c:v>
                </c:pt>
                <c:pt idx="63">
                  <c:v>1.23</c:v>
                </c:pt>
                <c:pt idx="64">
                  <c:v>1.34</c:v>
                </c:pt>
              </c:strCache>
            </c:strRef>
          </c:xVal>
          <c:yVal>
            <c:numRef>
              <c:f>T3M!$X$2:$X$214</c:f>
              <c:numCache>
                <c:formatCode>General</c:formatCode>
                <c:ptCount val="213"/>
                <c:pt idx="10">
                  <c:v>124.91997377631655</c:v>
                </c:pt>
                <c:pt idx="11">
                  <c:v>124.60797377631654</c:v>
                </c:pt>
                <c:pt idx="12">
                  <c:v>124.85291304757159</c:v>
                </c:pt>
                <c:pt idx="13">
                  <c:v>124.89744746052706</c:v>
                </c:pt>
                <c:pt idx="14">
                  <c:v>124.87496868293793</c:v>
                </c:pt>
                <c:pt idx="15">
                  <c:v>124.83001112775966</c:v>
                </c:pt>
                <c:pt idx="16">
                  <c:v>124.78880003551292</c:v>
                </c:pt>
                <c:pt idx="17">
                  <c:v>124.78505357258139</c:v>
                </c:pt>
                <c:pt idx="18">
                  <c:v>124.78130710964987</c:v>
                </c:pt>
                <c:pt idx="19">
                  <c:v>124.71643531477808</c:v>
                </c:pt>
                <c:pt idx="21">
                  <c:v>124.56074300708578</c:v>
                </c:pt>
                <c:pt idx="22">
                  <c:v>124.52181993016269</c:v>
                </c:pt>
                <c:pt idx="23">
                  <c:v>124.49587121221397</c:v>
                </c:pt>
                <c:pt idx="24">
                  <c:v>124.44397377631654</c:v>
                </c:pt>
                <c:pt idx="25">
                  <c:v>124.452012237855</c:v>
                </c:pt>
                <c:pt idx="26">
                  <c:v>124.48416608400885</c:v>
                </c:pt>
                <c:pt idx="27">
                  <c:v>124.49220454554731</c:v>
                </c:pt>
                <c:pt idx="28">
                  <c:v>124.54847377631654</c:v>
                </c:pt>
                <c:pt idx="29">
                  <c:v>124.51021377631655</c:v>
                </c:pt>
                <c:pt idx="30">
                  <c:v>124.47195377631654</c:v>
                </c:pt>
                <c:pt idx="31">
                  <c:v>124.38268044298322</c:v>
                </c:pt>
                <c:pt idx="32">
                  <c:v>124.30616044298323</c:v>
                </c:pt>
                <c:pt idx="33">
                  <c:v>124.29340710964989</c:v>
                </c:pt>
                <c:pt idx="34">
                  <c:v>124.24239377631656</c:v>
                </c:pt>
                <c:pt idx="35">
                  <c:v>124.22964044298323</c:v>
                </c:pt>
                <c:pt idx="36">
                  <c:v>124.33364044298322</c:v>
                </c:pt>
                <c:pt idx="37">
                  <c:v>124.35097377631655</c:v>
                </c:pt>
                <c:pt idx="38">
                  <c:v>124.54164044298321</c:v>
                </c:pt>
                <c:pt idx="39">
                  <c:v>124.53459229483506</c:v>
                </c:pt>
                <c:pt idx="40">
                  <c:v>124.49230340594617</c:v>
                </c:pt>
                <c:pt idx="41">
                  <c:v>124.47115896150173</c:v>
                </c:pt>
                <c:pt idx="42">
                  <c:v>124.44296636890914</c:v>
                </c:pt>
                <c:pt idx="43">
                  <c:v>124.3654367392795</c:v>
                </c:pt>
                <c:pt idx="44">
                  <c:v>124.30905155409432</c:v>
                </c:pt>
                <c:pt idx="45">
                  <c:v>124.22447377631654</c:v>
                </c:pt>
                <c:pt idx="46">
                  <c:v>124.23382377631654</c:v>
                </c:pt>
                <c:pt idx="47">
                  <c:v>124.25252377631655</c:v>
                </c:pt>
                <c:pt idx="48">
                  <c:v>124.26187377631655</c:v>
                </c:pt>
                <c:pt idx="49">
                  <c:v>124.31329877631654</c:v>
                </c:pt>
                <c:pt idx="50">
                  <c:v>124.31797377631655</c:v>
                </c:pt>
                <c:pt idx="51">
                  <c:v>124.78630710964988</c:v>
                </c:pt>
                <c:pt idx="52">
                  <c:v>124.82533488742766</c:v>
                </c:pt>
                <c:pt idx="53">
                  <c:v>125.02047377631655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A2-46BC-969A-B1F264C15DDA}"/>
            </c:ext>
          </c:extLst>
        </c:ser>
        <c:ser>
          <c:idx val="3"/>
          <c:order val="3"/>
          <c:tx>
            <c:strRef>
              <c:f>T3M!$AB$1</c:f>
              <c:strCache>
                <c:ptCount val="1"/>
                <c:pt idx="0">
                  <c:v>3 W Elev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T3M!$P$2:$P$214</c:f>
              <c:strCache>
                <c:ptCount val="65"/>
                <c:pt idx="0">
                  <c:v>9</c:v>
                </c:pt>
                <c:pt idx="1">
                  <c:v>10.16666667</c:v>
                </c:pt>
                <c:pt idx="2">
                  <c:v>10.66666667</c:v>
                </c:pt>
                <c:pt idx="3">
                  <c:v>11.33333333</c:v>
                </c:pt>
                <c:pt idx="4">
                  <c:v>13.33333333</c:v>
                </c:pt>
                <c:pt idx="5">
                  <c:v>14.41666667</c:v>
                </c:pt>
                <c:pt idx="6">
                  <c:v>15.83333333</c:v>
                </c:pt>
                <c:pt idx="7">
                  <c:v>16.66666667</c:v>
                </c:pt>
                <c:pt idx="8">
                  <c:v>16.91666667</c:v>
                </c:pt>
                <c:pt idx="9">
                  <c:v>17.75</c:v>
                </c:pt>
                <c:pt idx="10">
                  <c:v>19.08333333</c:v>
                </c:pt>
                <c:pt idx="11">
                  <c:v>19.41666667</c:v>
                </c:pt>
                <c:pt idx="12">
                  <c:v>20.33333333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22.91666667</c:v>
                </c:pt>
                <c:pt idx="17">
                  <c:v>23</c:v>
                </c:pt>
                <c:pt idx="18">
                  <c:v>23.08333333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24.91666667</c:v>
                </c:pt>
                <c:pt idx="24">
                  <c:v>25.25</c:v>
                </c:pt>
                <c:pt idx="25">
                  <c:v>25.33333333</c:v>
                </c:pt>
                <c:pt idx="26">
                  <c:v>25.66666667</c:v>
                </c:pt>
                <c:pt idx="27">
                  <c:v>25.75</c:v>
                </c:pt>
                <c:pt idx="28">
                  <c:v>26.33333333</c:v>
                </c:pt>
                <c:pt idx="29">
                  <c:v>26.58333333</c:v>
                </c:pt>
                <c:pt idx="30">
                  <c:v>26.83333333</c:v>
                </c:pt>
                <c:pt idx="31">
                  <c:v>27.41666667</c:v>
                </c:pt>
                <c:pt idx="32">
                  <c:v>27.91666667</c:v>
                </c:pt>
                <c:pt idx="33">
                  <c:v>28</c:v>
                </c:pt>
                <c:pt idx="34">
                  <c:v>28.33333333</c:v>
                </c:pt>
                <c:pt idx="35">
                  <c:v>28.41666667</c:v>
                </c:pt>
                <c:pt idx="36">
                  <c:v>28.91666667</c:v>
                </c:pt>
                <c:pt idx="37">
                  <c:v>29</c:v>
                </c:pt>
                <c:pt idx="38">
                  <c:v>29.91666667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</c:v>
                </c:pt>
                <c:pt idx="43">
                  <c:v>32</c:v>
                </c:pt>
                <c:pt idx="44">
                  <c:v>32.66666667</c:v>
                </c:pt>
                <c:pt idx="45">
                  <c:v>33.66666667</c:v>
                </c:pt>
                <c:pt idx="46">
                  <c:v>33.83333333</c:v>
                </c:pt>
                <c:pt idx="47">
                  <c:v>34.16666667</c:v>
                </c:pt>
                <c:pt idx="48">
                  <c:v>34.33333333</c:v>
                </c:pt>
                <c:pt idx="49">
                  <c:v>35.25</c:v>
                </c:pt>
                <c:pt idx="50">
                  <c:v>35.33333333</c:v>
                </c:pt>
                <c:pt idx="51">
                  <c:v>36.33333333</c:v>
                </c:pt>
                <c:pt idx="52">
                  <c:v>36.41666667</c:v>
                </c:pt>
                <c:pt idx="53">
                  <c:v>36.83333333</c:v>
                </c:pt>
                <c:pt idx="54">
                  <c:v>37</c:v>
                </c:pt>
                <c:pt idx="55">
                  <c:v>40.33333333</c:v>
                </c:pt>
                <c:pt idx="56">
                  <c:v>41.5</c:v>
                </c:pt>
                <c:pt idx="57">
                  <c:v>43.41666667</c:v>
                </c:pt>
                <c:pt idx="58">
                  <c:v>45.83333333</c:v>
                </c:pt>
                <c:pt idx="60">
                  <c:v>Chan Depth - ft</c:v>
                </c:pt>
                <c:pt idx="61">
                  <c:v>0.8</c:v>
                </c:pt>
                <c:pt idx="62">
                  <c:v>0.95</c:v>
                </c:pt>
                <c:pt idx="63">
                  <c:v>1.23</c:v>
                </c:pt>
                <c:pt idx="64">
                  <c:v>1.34</c:v>
                </c:pt>
              </c:strCache>
            </c:strRef>
          </c:xVal>
          <c:yVal>
            <c:numRef>
              <c:f>T3M!$AB$2:$AB$214</c:f>
              <c:numCache>
                <c:formatCode>General</c:formatCode>
                <c:ptCount val="213"/>
                <c:pt idx="6">
                  <c:v>125.46258916093193</c:v>
                </c:pt>
                <c:pt idx="7">
                  <c:v>125.46258916093193</c:v>
                </c:pt>
                <c:pt idx="9">
                  <c:v>125.32904849107547</c:v>
                </c:pt>
                <c:pt idx="10">
                  <c:v>125.16469074355982</c:v>
                </c:pt>
                <c:pt idx="11">
                  <c:v>125.12360130668091</c:v>
                </c:pt>
                <c:pt idx="12">
                  <c:v>125.01060535526391</c:v>
                </c:pt>
                <c:pt idx="13">
                  <c:v>125.05034219736918</c:v>
                </c:pt>
                <c:pt idx="14">
                  <c:v>125.16955272368496</c:v>
                </c:pt>
                <c:pt idx="15">
                  <c:v>125.40797377631654</c:v>
                </c:pt>
                <c:pt idx="16">
                  <c:v>124.92130710964987</c:v>
                </c:pt>
                <c:pt idx="17">
                  <c:v>125.02511663345939</c:v>
                </c:pt>
                <c:pt idx="18">
                  <c:v>125.12892615726892</c:v>
                </c:pt>
                <c:pt idx="19">
                  <c:v>125.64797377631655</c:v>
                </c:pt>
                <c:pt idx="21">
                  <c:v>125.05342832177108</c:v>
                </c:pt>
                <c:pt idx="22">
                  <c:v>124.85454195813472</c:v>
                </c:pt>
                <c:pt idx="23">
                  <c:v>124.72195104904381</c:v>
                </c:pt>
                <c:pt idx="24">
                  <c:v>124.45676923086199</c:v>
                </c:pt>
                <c:pt idx="25">
                  <c:v>124.39047377631654</c:v>
                </c:pt>
                <c:pt idx="26">
                  <c:v>124.37647377631654</c:v>
                </c:pt>
                <c:pt idx="27">
                  <c:v>124.38422797799721</c:v>
                </c:pt>
                <c:pt idx="28">
                  <c:v>124.43850738976192</c:v>
                </c:pt>
                <c:pt idx="29">
                  <c:v>124.46176999480394</c:v>
                </c:pt>
                <c:pt idx="30">
                  <c:v>124.48503259984597</c:v>
                </c:pt>
                <c:pt idx="31">
                  <c:v>124.06150318808126</c:v>
                </c:pt>
                <c:pt idx="32">
                  <c:v>124.19012350893686</c:v>
                </c:pt>
                <c:pt idx="33">
                  <c:v>124.21156022907947</c:v>
                </c:pt>
                <c:pt idx="34">
                  <c:v>124.29730710964988</c:v>
                </c:pt>
                <c:pt idx="35">
                  <c:v>124.26589044298321</c:v>
                </c:pt>
                <c:pt idx="36">
                  <c:v>124.07739044298322</c:v>
                </c:pt>
                <c:pt idx="37">
                  <c:v>124.04597377631654</c:v>
                </c:pt>
                <c:pt idx="38">
                  <c:v>124.75914044298321</c:v>
                </c:pt>
                <c:pt idx="39">
                  <c:v>124.82397377631655</c:v>
                </c:pt>
                <c:pt idx="40">
                  <c:v>124.52680710964988</c:v>
                </c:pt>
                <c:pt idx="41">
                  <c:v>124.37822377631655</c:v>
                </c:pt>
                <c:pt idx="42">
                  <c:v>124.78522377631654</c:v>
                </c:pt>
                <c:pt idx="43">
                  <c:v>124.50947377631654</c:v>
                </c:pt>
                <c:pt idx="44">
                  <c:v>124.50347377631655</c:v>
                </c:pt>
                <c:pt idx="45">
                  <c:v>124.54573303557581</c:v>
                </c:pt>
                <c:pt idx="46">
                  <c:v>124.55277624545235</c:v>
                </c:pt>
                <c:pt idx="47">
                  <c:v>124.56686266520543</c:v>
                </c:pt>
                <c:pt idx="48">
                  <c:v>124.56515326349603</c:v>
                </c:pt>
                <c:pt idx="49">
                  <c:v>124.55575155409433</c:v>
                </c:pt>
                <c:pt idx="50">
                  <c:v>124.5668924271102</c:v>
                </c:pt>
                <c:pt idx="51">
                  <c:v>124.70058290330067</c:v>
                </c:pt>
                <c:pt idx="52">
                  <c:v>124.71172377631655</c:v>
                </c:pt>
                <c:pt idx="53">
                  <c:v>124.71172377631655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A2-46BC-969A-B1F264C15DDA}"/>
            </c:ext>
          </c:extLst>
        </c:ser>
        <c:ser>
          <c:idx val="4"/>
          <c:order val="4"/>
          <c:tx>
            <c:strRef>
              <c:f>T3M!$AF$1</c:f>
              <c:strCache>
                <c:ptCount val="1"/>
                <c:pt idx="0">
                  <c:v>4 W Elev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T3M!$P$2:$P$214</c:f>
              <c:strCache>
                <c:ptCount val="65"/>
                <c:pt idx="0">
                  <c:v>9</c:v>
                </c:pt>
                <c:pt idx="1">
                  <c:v>10.16666667</c:v>
                </c:pt>
                <c:pt idx="2">
                  <c:v>10.66666667</c:v>
                </c:pt>
                <c:pt idx="3">
                  <c:v>11.33333333</c:v>
                </c:pt>
                <c:pt idx="4">
                  <c:v>13.33333333</c:v>
                </c:pt>
                <c:pt idx="5">
                  <c:v>14.41666667</c:v>
                </c:pt>
                <c:pt idx="6">
                  <c:v>15.83333333</c:v>
                </c:pt>
                <c:pt idx="7">
                  <c:v>16.66666667</c:v>
                </c:pt>
                <c:pt idx="8">
                  <c:v>16.91666667</c:v>
                </c:pt>
                <c:pt idx="9">
                  <c:v>17.75</c:v>
                </c:pt>
                <c:pt idx="10">
                  <c:v>19.08333333</c:v>
                </c:pt>
                <c:pt idx="11">
                  <c:v>19.41666667</c:v>
                </c:pt>
                <c:pt idx="12">
                  <c:v>20.33333333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22.91666667</c:v>
                </c:pt>
                <c:pt idx="17">
                  <c:v>23</c:v>
                </c:pt>
                <c:pt idx="18">
                  <c:v>23.08333333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24.91666667</c:v>
                </c:pt>
                <c:pt idx="24">
                  <c:v>25.25</c:v>
                </c:pt>
                <c:pt idx="25">
                  <c:v>25.33333333</c:v>
                </c:pt>
                <c:pt idx="26">
                  <c:v>25.66666667</c:v>
                </c:pt>
                <c:pt idx="27">
                  <c:v>25.75</c:v>
                </c:pt>
                <c:pt idx="28">
                  <c:v>26.33333333</c:v>
                </c:pt>
                <c:pt idx="29">
                  <c:v>26.58333333</c:v>
                </c:pt>
                <c:pt idx="30">
                  <c:v>26.83333333</c:v>
                </c:pt>
                <c:pt idx="31">
                  <c:v>27.41666667</c:v>
                </c:pt>
                <c:pt idx="32">
                  <c:v>27.91666667</c:v>
                </c:pt>
                <c:pt idx="33">
                  <c:v>28</c:v>
                </c:pt>
                <c:pt idx="34">
                  <c:v>28.33333333</c:v>
                </c:pt>
                <c:pt idx="35">
                  <c:v>28.41666667</c:v>
                </c:pt>
                <c:pt idx="36">
                  <c:v>28.91666667</c:v>
                </c:pt>
                <c:pt idx="37">
                  <c:v>29</c:v>
                </c:pt>
                <c:pt idx="38">
                  <c:v>29.91666667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</c:v>
                </c:pt>
                <c:pt idx="43">
                  <c:v>32</c:v>
                </c:pt>
                <c:pt idx="44">
                  <c:v>32.66666667</c:v>
                </c:pt>
                <c:pt idx="45">
                  <c:v>33.66666667</c:v>
                </c:pt>
                <c:pt idx="46">
                  <c:v>33.83333333</c:v>
                </c:pt>
                <c:pt idx="47">
                  <c:v>34.16666667</c:v>
                </c:pt>
                <c:pt idx="48">
                  <c:v>34.33333333</c:v>
                </c:pt>
                <c:pt idx="49">
                  <c:v>35.25</c:v>
                </c:pt>
                <c:pt idx="50">
                  <c:v>35.33333333</c:v>
                </c:pt>
                <c:pt idx="51">
                  <c:v>36.33333333</c:v>
                </c:pt>
                <c:pt idx="52">
                  <c:v>36.41666667</c:v>
                </c:pt>
                <c:pt idx="53">
                  <c:v>36.83333333</c:v>
                </c:pt>
                <c:pt idx="54">
                  <c:v>37</c:v>
                </c:pt>
                <c:pt idx="55">
                  <c:v>40.33333333</c:v>
                </c:pt>
                <c:pt idx="56">
                  <c:v>41.5</c:v>
                </c:pt>
                <c:pt idx="57">
                  <c:v>43.41666667</c:v>
                </c:pt>
                <c:pt idx="58">
                  <c:v>45.83333333</c:v>
                </c:pt>
                <c:pt idx="60">
                  <c:v>Chan Depth - ft</c:v>
                </c:pt>
                <c:pt idx="61">
                  <c:v>0.8</c:v>
                </c:pt>
                <c:pt idx="62">
                  <c:v>0.95</c:v>
                </c:pt>
                <c:pt idx="63">
                  <c:v>1.23</c:v>
                </c:pt>
                <c:pt idx="64">
                  <c:v>1.34</c:v>
                </c:pt>
              </c:strCache>
            </c:strRef>
          </c:xVal>
          <c:yVal>
            <c:numRef>
              <c:f>T3M!$AF$2:$AF$214</c:f>
              <c:numCache>
                <c:formatCode>General</c:formatCode>
                <c:ptCount val="213"/>
                <c:pt idx="6">
                  <c:v>124.88997377631655</c:v>
                </c:pt>
                <c:pt idx="7">
                  <c:v>124.88997377631655</c:v>
                </c:pt>
                <c:pt idx="9">
                  <c:v>124.88997377631655</c:v>
                </c:pt>
                <c:pt idx="10">
                  <c:v>124.88997377631655</c:v>
                </c:pt>
                <c:pt idx="11">
                  <c:v>124.40797377631654</c:v>
                </c:pt>
                <c:pt idx="12">
                  <c:v>124.6106053552639</c:v>
                </c:pt>
                <c:pt idx="13">
                  <c:v>124.64744746052706</c:v>
                </c:pt>
                <c:pt idx="14">
                  <c:v>124.78948481197018</c:v>
                </c:pt>
                <c:pt idx="15">
                  <c:v>125.07355951485643</c:v>
                </c:pt>
                <c:pt idx="16">
                  <c:v>125.33396132583549</c:v>
                </c:pt>
                <c:pt idx="17">
                  <c:v>125.35763421774269</c:v>
                </c:pt>
                <c:pt idx="18">
                  <c:v>125.38130710964987</c:v>
                </c:pt>
                <c:pt idx="19">
                  <c:v>125.15251923086198</c:v>
                </c:pt>
                <c:pt idx="21">
                  <c:v>124.60342832177109</c:v>
                </c:pt>
                <c:pt idx="22">
                  <c:v>124.46615559449836</c:v>
                </c:pt>
                <c:pt idx="23">
                  <c:v>124.37542832177108</c:v>
                </c:pt>
                <c:pt idx="24">
                  <c:v>124.19397377631654</c:v>
                </c:pt>
                <c:pt idx="25">
                  <c:v>124.25970454554731</c:v>
                </c:pt>
                <c:pt idx="26">
                  <c:v>124.52262762247038</c:v>
                </c:pt>
                <c:pt idx="27">
                  <c:v>124.58835839170115</c:v>
                </c:pt>
                <c:pt idx="28">
                  <c:v>125.04847377631654</c:v>
                </c:pt>
                <c:pt idx="29">
                  <c:v>124.96461377631654</c:v>
                </c:pt>
                <c:pt idx="30">
                  <c:v>124.88075377631654</c:v>
                </c:pt>
                <c:pt idx="31">
                  <c:v>124.68508044298321</c:v>
                </c:pt>
                <c:pt idx="32">
                  <c:v>124.51736044298322</c:v>
                </c:pt>
                <c:pt idx="33">
                  <c:v>124.48940710964987</c:v>
                </c:pt>
                <c:pt idx="34">
                  <c:v>124.37759377631654</c:v>
                </c:pt>
                <c:pt idx="35">
                  <c:v>124.34964044298322</c:v>
                </c:pt>
                <c:pt idx="36">
                  <c:v>124.54364044298322</c:v>
                </c:pt>
                <c:pt idx="37">
                  <c:v>124.57597377631654</c:v>
                </c:pt>
                <c:pt idx="38">
                  <c:v>124.93164044298321</c:v>
                </c:pt>
                <c:pt idx="39">
                  <c:v>124.92303673927951</c:v>
                </c:pt>
                <c:pt idx="40">
                  <c:v>124.87141451705729</c:v>
                </c:pt>
                <c:pt idx="41">
                  <c:v>124.84560340594618</c:v>
                </c:pt>
                <c:pt idx="42">
                  <c:v>124.81118859113135</c:v>
                </c:pt>
                <c:pt idx="43">
                  <c:v>124.71654785039063</c:v>
                </c:pt>
                <c:pt idx="44">
                  <c:v>124.64771822076099</c:v>
                </c:pt>
                <c:pt idx="45">
                  <c:v>124.54447377631655</c:v>
                </c:pt>
                <c:pt idx="46">
                  <c:v>124.57182377631655</c:v>
                </c:pt>
                <c:pt idx="47">
                  <c:v>124.62652377631655</c:v>
                </c:pt>
                <c:pt idx="48">
                  <c:v>124.65387377631654</c:v>
                </c:pt>
                <c:pt idx="49">
                  <c:v>124.80429877631654</c:v>
                </c:pt>
                <c:pt idx="50">
                  <c:v>124.81797377631655</c:v>
                </c:pt>
                <c:pt idx="51">
                  <c:v>124.81797377631655</c:v>
                </c:pt>
                <c:pt idx="52">
                  <c:v>124.81797377631655</c:v>
                </c:pt>
                <c:pt idx="53">
                  <c:v>124.81797377631655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A2-46BC-969A-B1F264C15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637496"/>
        <c:axId val="542644384"/>
      </c:scatterChart>
      <c:valAx>
        <c:axId val="542637496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44384"/>
        <c:crosses val="autoZero"/>
        <c:crossBetween val="midCat"/>
      </c:valAx>
      <c:valAx>
        <c:axId val="5426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37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Transect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3</a:t>
            </a:r>
            <a:endParaRPr lang="en-US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Substrate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T3M!$AI$2:$AI$214</c:f>
              <c:numCache>
                <c:formatCode>General</c:formatCode>
                <c:ptCount val="213"/>
                <c:pt idx="0">
                  <c:v>9</c:v>
                </c:pt>
                <c:pt idx="1">
                  <c:v>10.166666666666666</c:v>
                </c:pt>
                <c:pt idx="2">
                  <c:v>10.666666666666666</c:v>
                </c:pt>
                <c:pt idx="3">
                  <c:v>11.333333333333334</c:v>
                </c:pt>
                <c:pt idx="4">
                  <c:v>13.333333333333334</c:v>
                </c:pt>
                <c:pt idx="5">
                  <c:v>14.416666666666666</c:v>
                </c:pt>
                <c:pt idx="6">
                  <c:v>15.833333333333334</c:v>
                </c:pt>
                <c:pt idx="7">
                  <c:v>16.666666666666668</c:v>
                </c:pt>
                <c:pt idx="8">
                  <c:v>16.916666666666668</c:v>
                </c:pt>
                <c:pt idx="9">
                  <c:v>17.75</c:v>
                </c:pt>
                <c:pt idx="10">
                  <c:v>19.083333333333332</c:v>
                </c:pt>
                <c:pt idx="11">
                  <c:v>19.416666666666668</c:v>
                </c:pt>
                <c:pt idx="12">
                  <c:v>20.333333333333332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22.916666666666668</c:v>
                </c:pt>
                <c:pt idx="17">
                  <c:v>23</c:v>
                </c:pt>
                <c:pt idx="18">
                  <c:v>23.083333333333332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24.916666666666668</c:v>
                </c:pt>
                <c:pt idx="24">
                  <c:v>25.25</c:v>
                </c:pt>
                <c:pt idx="25">
                  <c:v>25.333333333333332</c:v>
                </c:pt>
                <c:pt idx="26">
                  <c:v>25.666666666666668</c:v>
                </c:pt>
                <c:pt idx="27">
                  <c:v>25.75</c:v>
                </c:pt>
                <c:pt idx="28">
                  <c:v>26.333333333333332</c:v>
                </c:pt>
                <c:pt idx="29">
                  <c:v>26.583333333333332</c:v>
                </c:pt>
                <c:pt idx="30">
                  <c:v>26.833333333333332</c:v>
                </c:pt>
                <c:pt idx="31">
                  <c:v>27.416666666666668</c:v>
                </c:pt>
                <c:pt idx="32">
                  <c:v>27.916666666666668</c:v>
                </c:pt>
                <c:pt idx="33">
                  <c:v>28</c:v>
                </c:pt>
                <c:pt idx="34">
                  <c:v>28.333333333333332</c:v>
                </c:pt>
                <c:pt idx="35">
                  <c:v>28.416666666666668</c:v>
                </c:pt>
                <c:pt idx="36">
                  <c:v>28.916666666666668</c:v>
                </c:pt>
                <c:pt idx="37">
                  <c:v>29</c:v>
                </c:pt>
                <c:pt idx="38">
                  <c:v>29.916666666666668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31.083333333333332</c:v>
                </c:pt>
                <c:pt idx="43">
                  <c:v>32</c:v>
                </c:pt>
                <c:pt idx="44">
                  <c:v>32.666666666666664</c:v>
                </c:pt>
                <c:pt idx="45">
                  <c:v>33.666666666666664</c:v>
                </c:pt>
                <c:pt idx="46">
                  <c:v>33.833333333333336</c:v>
                </c:pt>
                <c:pt idx="47">
                  <c:v>34.166666666666664</c:v>
                </c:pt>
                <c:pt idx="48">
                  <c:v>34.333333333333336</c:v>
                </c:pt>
                <c:pt idx="49">
                  <c:v>35.25</c:v>
                </c:pt>
                <c:pt idx="50">
                  <c:v>35.333333333333336</c:v>
                </c:pt>
                <c:pt idx="51">
                  <c:v>36.333333333333336</c:v>
                </c:pt>
                <c:pt idx="52">
                  <c:v>36.416666666666664</c:v>
                </c:pt>
                <c:pt idx="53">
                  <c:v>36.833333333333336</c:v>
                </c:pt>
                <c:pt idx="54">
                  <c:v>37</c:v>
                </c:pt>
                <c:pt idx="55">
                  <c:v>40.333333333333336</c:v>
                </c:pt>
                <c:pt idx="56">
                  <c:v>41.5</c:v>
                </c:pt>
                <c:pt idx="57">
                  <c:v>43.416666666666664</c:v>
                </c:pt>
                <c:pt idx="58">
                  <c:v>45.833333333333336</c:v>
                </c:pt>
              </c:numCache>
            </c:numRef>
          </c:xVal>
          <c:yVal>
            <c:numRef>
              <c:f>T3M!$AJ$2:$AJ$214</c:f>
              <c:numCache>
                <c:formatCode>General</c:formatCode>
                <c:ptCount val="213"/>
                <c:pt idx="0">
                  <c:v>125.91797377631654</c:v>
                </c:pt>
                <c:pt idx="1">
                  <c:v>125.94797377631654</c:v>
                </c:pt>
                <c:pt idx="2">
                  <c:v>126.24797377631654</c:v>
                </c:pt>
                <c:pt idx="3">
                  <c:v>125.58797377631655</c:v>
                </c:pt>
                <c:pt idx="4">
                  <c:v>125.39797377631655</c:v>
                </c:pt>
                <c:pt idx="5">
                  <c:v>125.97797377631655</c:v>
                </c:pt>
                <c:pt idx="6">
                  <c:v>125.07797377631654</c:v>
                </c:pt>
                <c:pt idx="7">
                  <c:v>124.96258916093193</c:v>
                </c:pt>
                <c:pt idx="8">
                  <c:v>124.92797377631655</c:v>
                </c:pt>
                <c:pt idx="9">
                  <c:v>125.46797377631654</c:v>
                </c:pt>
                <c:pt idx="10">
                  <c:v>124.13997377631655</c:v>
                </c:pt>
                <c:pt idx="11">
                  <c:v>123.80797377631654</c:v>
                </c:pt>
                <c:pt idx="12">
                  <c:v>124.01060535526391</c:v>
                </c:pt>
                <c:pt idx="13">
                  <c:v>124.04744746052707</c:v>
                </c:pt>
                <c:pt idx="14">
                  <c:v>124.15797377631654</c:v>
                </c:pt>
                <c:pt idx="15">
                  <c:v>124.60797377631654</c:v>
                </c:pt>
                <c:pt idx="16">
                  <c:v>124.02130710964987</c:v>
                </c:pt>
                <c:pt idx="17">
                  <c:v>123.96797377631654</c:v>
                </c:pt>
                <c:pt idx="18">
                  <c:v>124.08130710964987</c:v>
                </c:pt>
                <c:pt idx="19">
                  <c:v>124.64797377631655</c:v>
                </c:pt>
                <c:pt idx="20">
                  <c:v>125.32797377631654</c:v>
                </c:pt>
                <c:pt idx="21">
                  <c:v>124.55342832177108</c:v>
                </c:pt>
                <c:pt idx="22">
                  <c:v>124.16615559449836</c:v>
                </c:pt>
                <c:pt idx="23">
                  <c:v>123.90797377631654</c:v>
                </c:pt>
                <c:pt idx="24">
                  <c:v>123.89397377631654</c:v>
                </c:pt>
                <c:pt idx="25">
                  <c:v>123.89047377631654</c:v>
                </c:pt>
                <c:pt idx="26">
                  <c:v>123.87647377631654</c:v>
                </c:pt>
                <c:pt idx="27">
                  <c:v>123.87297377631654</c:v>
                </c:pt>
                <c:pt idx="28">
                  <c:v>123.84847377631654</c:v>
                </c:pt>
                <c:pt idx="29">
                  <c:v>123.83797377631655</c:v>
                </c:pt>
                <c:pt idx="30">
                  <c:v>123.78503259984596</c:v>
                </c:pt>
                <c:pt idx="31">
                  <c:v>123.66150318808126</c:v>
                </c:pt>
                <c:pt idx="32">
                  <c:v>123.55562083514008</c:v>
                </c:pt>
                <c:pt idx="33">
                  <c:v>123.53797377631655</c:v>
                </c:pt>
                <c:pt idx="34">
                  <c:v>123.54730710964988</c:v>
                </c:pt>
                <c:pt idx="35">
                  <c:v>123.54964044298322</c:v>
                </c:pt>
                <c:pt idx="36">
                  <c:v>123.56364044298321</c:v>
                </c:pt>
                <c:pt idx="37">
                  <c:v>123.56597377631654</c:v>
                </c:pt>
                <c:pt idx="38">
                  <c:v>123.59164044298321</c:v>
                </c:pt>
                <c:pt idx="39">
                  <c:v>123.59397377631655</c:v>
                </c:pt>
                <c:pt idx="40">
                  <c:v>123.60797377631654</c:v>
                </c:pt>
                <c:pt idx="41">
                  <c:v>123.59822377631654</c:v>
                </c:pt>
                <c:pt idx="42">
                  <c:v>123.58522377631654</c:v>
                </c:pt>
                <c:pt idx="43">
                  <c:v>123.54947377631655</c:v>
                </c:pt>
                <c:pt idx="44">
                  <c:v>123.52347377631655</c:v>
                </c:pt>
                <c:pt idx="45">
                  <c:v>123.48447377631655</c:v>
                </c:pt>
                <c:pt idx="46">
                  <c:v>123.47797377631655</c:v>
                </c:pt>
                <c:pt idx="47">
                  <c:v>123.48686266520544</c:v>
                </c:pt>
                <c:pt idx="48">
                  <c:v>123.49130710964988</c:v>
                </c:pt>
                <c:pt idx="49">
                  <c:v>123.51575155409432</c:v>
                </c:pt>
                <c:pt idx="50">
                  <c:v>123.51797377631655</c:v>
                </c:pt>
                <c:pt idx="51">
                  <c:v>123.78797377631655</c:v>
                </c:pt>
                <c:pt idx="52">
                  <c:v>123.93172377631655</c:v>
                </c:pt>
                <c:pt idx="53">
                  <c:v>124.65047377631655</c:v>
                </c:pt>
                <c:pt idx="54">
                  <c:v>124.93797377631654</c:v>
                </c:pt>
                <c:pt idx="55">
                  <c:v>125.10797377631654</c:v>
                </c:pt>
                <c:pt idx="56">
                  <c:v>126.68797377631654</c:v>
                </c:pt>
                <c:pt idx="57">
                  <c:v>126.62797377631655</c:v>
                </c:pt>
                <c:pt idx="58">
                  <c:v>128.05797377631654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F-430F-8024-29FE966D94A7}"/>
            </c:ext>
          </c:extLst>
        </c:ser>
        <c:ser>
          <c:idx val="1"/>
          <c:order val="1"/>
          <c:tx>
            <c:v>Flow 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T3M!$AI$2:$AI$214</c:f>
              <c:numCache>
                <c:formatCode>General</c:formatCode>
                <c:ptCount val="213"/>
                <c:pt idx="0">
                  <c:v>9</c:v>
                </c:pt>
                <c:pt idx="1">
                  <c:v>10.166666666666666</c:v>
                </c:pt>
                <c:pt idx="2">
                  <c:v>10.666666666666666</c:v>
                </c:pt>
                <c:pt idx="3">
                  <c:v>11.333333333333334</c:v>
                </c:pt>
                <c:pt idx="4">
                  <c:v>13.333333333333334</c:v>
                </c:pt>
                <c:pt idx="5">
                  <c:v>14.416666666666666</c:v>
                </c:pt>
                <c:pt idx="6">
                  <c:v>15.833333333333334</c:v>
                </c:pt>
                <c:pt idx="7">
                  <c:v>16.666666666666668</c:v>
                </c:pt>
                <c:pt idx="8">
                  <c:v>16.916666666666668</c:v>
                </c:pt>
                <c:pt idx="9">
                  <c:v>17.75</c:v>
                </c:pt>
                <c:pt idx="10">
                  <c:v>19.083333333333332</c:v>
                </c:pt>
                <c:pt idx="11">
                  <c:v>19.416666666666668</c:v>
                </c:pt>
                <c:pt idx="12">
                  <c:v>20.333333333333332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22.916666666666668</c:v>
                </c:pt>
                <c:pt idx="17">
                  <c:v>23</c:v>
                </c:pt>
                <c:pt idx="18">
                  <c:v>23.083333333333332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24.916666666666668</c:v>
                </c:pt>
                <c:pt idx="24">
                  <c:v>25.25</c:v>
                </c:pt>
                <c:pt idx="25">
                  <c:v>25.333333333333332</c:v>
                </c:pt>
                <c:pt idx="26">
                  <c:v>25.666666666666668</c:v>
                </c:pt>
                <c:pt idx="27">
                  <c:v>25.75</c:v>
                </c:pt>
                <c:pt idx="28">
                  <c:v>26.333333333333332</c:v>
                </c:pt>
                <c:pt idx="29">
                  <c:v>26.583333333333332</c:v>
                </c:pt>
                <c:pt idx="30">
                  <c:v>26.833333333333332</c:v>
                </c:pt>
                <c:pt idx="31">
                  <c:v>27.416666666666668</c:v>
                </c:pt>
                <c:pt idx="32">
                  <c:v>27.916666666666668</c:v>
                </c:pt>
                <c:pt idx="33">
                  <c:v>28</c:v>
                </c:pt>
                <c:pt idx="34">
                  <c:v>28.333333333333332</c:v>
                </c:pt>
                <c:pt idx="35">
                  <c:v>28.416666666666668</c:v>
                </c:pt>
                <c:pt idx="36">
                  <c:v>28.916666666666668</c:v>
                </c:pt>
                <c:pt idx="37">
                  <c:v>29</c:v>
                </c:pt>
                <c:pt idx="38">
                  <c:v>29.916666666666668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31.083333333333332</c:v>
                </c:pt>
                <c:pt idx="43">
                  <c:v>32</c:v>
                </c:pt>
                <c:pt idx="44">
                  <c:v>32.666666666666664</c:v>
                </c:pt>
                <c:pt idx="45">
                  <c:v>33.666666666666664</c:v>
                </c:pt>
                <c:pt idx="46">
                  <c:v>33.833333333333336</c:v>
                </c:pt>
                <c:pt idx="47">
                  <c:v>34.166666666666664</c:v>
                </c:pt>
                <c:pt idx="48">
                  <c:v>34.333333333333336</c:v>
                </c:pt>
                <c:pt idx="49">
                  <c:v>35.25</c:v>
                </c:pt>
                <c:pt idx="50">
                  <c:v>35.333333333333336</c:v>
                </c:pt>
                <c:pt idx="51">
                  <c:v>36.333333333333336</c:v>
                </c:pt>
                <c:pt idx="52">
                  <c:v>36.416666666666664</c:v>
                </c:pt>
                <c:pt idx="53">
                  <c:v>36.833333333333336</c:v>
                </c:pt>
                <c:pt idx="54">
                  <c:v>37</c:v>
                </c:pt>
                <c:pt idx="55">
                  <c:v>40.333333333333336</c:v>
                </c:pt>
                <c:pt idx="56">
                  <c:v>41.5</c:v>
                </c:pt>
                <c:pt idx="57">
                  <c:v>43.416666666666664</c:v>
                </c:pt>
                <c:pt idx="58">
                  <c:v>45.833333333333336</c:v>
                </c:pt>
              </c:numCache>
            </c:numRef>
          </c:xVal>
          <c:yVal>
            <c:numRef>
              <c:f>T3M!$AK$2:$AK$214</c:f>
              <c:numCache>
                <c:formatCode>General</c:formatCode>
                <c:ptCount val="213"/>
                <c:pt idx="10">
                  <c:v>124.229</c:v>
                </c:pt>
                <c:pt idx="11">
                  <c:v>124.229</c:v>
                </c:pt>
                <c:pt idx="12">
                  <c:v>124.229</c:v>
                </c:pt>
                <c:pt idx="13">
                  <c:v>124.229</c:v>
                </c:pt>
                <c:pt idx="14">
                  <c:v>124.229</c:v>
                </c:pt>
                <c:pt idx="16">
                  <c:v>124.229</c:v>
                </c:pt>
                <c:pt idx="17">
                  <c:v>124.229</c:v>
                </c:pt>
                <c:pt idx="18">
                  <c:v>124.229</c:v>
                </c:pt>
                <c:pt idx="19">
                  <c:v>124.229</c:v>
                </c:pt>
                <c:pt idx="21">
                  <c:v>124.229</c:v>
                </c:pt>
                <c:pt idx="22">
                  <c:v>124.229</c:v>
                </c:pt>
                <c:pt idx="23">
                  <c:v>124.229</c:v>
                </c:pt>
                <c:pt idx="24">
                  <c:v>124.229</c:v>
                </c:pt>
                <c:pt idx="25">
                  <c:v>124.229</c:v>
                </c:pt>
                <c:pt idx="26">
                  <c:v>124.229</c:v>
                </c:pt>
                <c:pt idx="27">
                  <c:v>124.229</c:v>
                </c:pt>
                <c:pt idx="28">
                  <c:v>124.229</c:v>
                </c:pt>
                <c:pt idx="29">
                  <c:v>124.229</c:v>
                </c:pt>
                <c:pt idx="30">
                  <c:v>124.229</c:v>
                </c:pt>
                <c:pt idx="31">
                  <c:v>124.229</c:v>
                </c:pt>
                <c:pt idx="32">
                  <c:v>124.229</c:v>
                </c:pt>
                <c:pt idx="33">
                  <c:v>124.229</c:v>
                </c:pt>
                <c:pt idx="34">
                  <c:v>124.229</c:v>
                </c:pt>
                <c:pt idx="35">
                  <c:v>124.229</c:v>
                </c:pt>
                <c:pt idx="36">
                  <c:v>124.229</c:v>
                </c:pt>
                <c:pt idx="37">
                  <c:v>124.229</c:v>
                </c:pt>
                <c:pt idx="38">
                  <c:v>124.229</c:v>
                </c:pt>
                <c:pt idx="39">
                  <c:v>124.229</c:v>
                </c:pt>
                <c:pt idx="40">
                  <c:v>124.229</c:v>
                </c:pt>
                <c:pt idx="41">
                  <c:v>124.229</c:v>
                </c:pt>
                <c:pt idx="42">
                  <c:v>124.229</c:v>
                </c:pt>
                <c:pt idx="43">
                  <c:v>124.229</c:v>
                </c:pt>
                <c:pt idx="44">
                  <c:v>124.229</c:v>
                </c:pt>
                <c:pt idx="45">
                  <c:v>124.229</c:v>
                </c:pt>
                <c:pt idx="46">
                  <c:v>124.229</c:v>
                </c:pt>
                <c:pt idx="47">
                  <c:v>124.229</c:v>
                </c:pt>
                <c:pt idx="48">
                  <c:v>124.229</c:v>
                </c:pt>
                <c:pt idx="49">
                  <c:v>124.229</c:v>
                </c:pt>
                <c:pt idx="50">
                  <c:v>124.229</c:v>
                </c:pt>
                <c:pt idx="51">
                  <c:v>124.229</c:v>
                </c:pt>
                <c:pt idx="52">
                  <c:v>124.229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8F-430F-8024-29FE966D94A7}"/>
            </c:ext>
          </c:extLst>
        </c:ser>
        <c:ser>
          <c:idx val="2"/>
          <c:order val="2"/>
          <c:tx>
            <c:v>Flow 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T3M!$AI$2:$AI$214</c:f>
              <c:numCache>
                <c:formatCode>General</c:formatCode>
                <c:ptCount val="213"/>
                <c:pt idx="0">
                  <c:v>9</c:v>
                </c:pt>
                <c:pt idx="1">
                  <c:v>10.166666666666666</c:v>
                </c:pt>
                <c:pt idx="2">
                  <c:v>10.666666666666666</c:v>
                </c:pt>
                <c:pt idx="3">
                  <c:v>11.333333333333334</c:v>
                </c:pt>
                <c:pt idx="4">
                  <c:v>13.333333333333334</c:v>
                </c:pt>
                <c:pt idx="5">
                  <c:v>14.416666666666666</c:v>
                </c:pt>
                <c:pt idx="6">
                  <c:v>15.833333333333334</c:v>
                </c:pt>
                <c:pt idx="7">
                  <c:v>16.666666666666668</c:v>
                </c:pt>
                <c:pt idx="8">
                  <c:v>16.916666666666668</c:v>
                </c:pt>
                <c:pt idx="9">
                  <c:v>17.75</c:v>
                </c:pt>
                <c:pt idx="10">
                  <c:v>19.083333333333332</c:v>
                </c:pt>
                <c:pt idx="11">
                  <c:v>19.416666666666668</c:v>
                </c:pt>
                <c:pt idx="12">
                  <c:v>20.333333333333332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22.916666666666668</c:v>
                </c:pt>
                <c:pt idx="17">
                  <c:v>23</c:v>
                </c:pt>
                <c:pt idx="18">
                  <c:v>23.083333333333332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24.916666666666668</c:v>
                </c:pt>
                <c:pt idx="24">
                  <c:v>25.25</c:v>
                </c:pt>
                <c:pt idx="25">
                  <c:v>25.333333333333332</c:v>
                </c:pt>
                <c:pt idx="26">
                  <c:v>25.666666666666668</c:v>
                </c:pt>
                <c:pt idx="27">
                  <c:v>25.75</c:v>
                </c:pt>
                <c:pt idx="28">
                  <c:v>26.333333333333332</c:v>
                </c:pt>
                <c:pt idx="29">
                  <c:v>26.583333333333332</c:v>
                </c:pt>
                <c:pt idx="30">
                  <c:v>26.833333333333332</c:v>
                </c:pt>
                <c:pt idx="31">
                  <c:v>27.416666666666668</c:v>
                </c:pt>
                <c:pt idx="32">
                  <c:v>27.916666666666668</c:v>
                </c:pt>
                <c:pt idx="33">
                  <c:v>28</c:v>
                </c:pt>
                <c:pt idx="34">
                  <c:v>28.333333333333332</c:v>
                </c:pt>
                <c:pt idx="35">
                  <c:v>28.416666666666668</c:v>
                </c:pt>
                <c:pt idx="36">
                  <c:v>28.916666666666668</c:v>
                </c:pt>
                <c:pt idx="37">
                  <c:v>29</c:v>
                </c:pt>
                <c:pt idx="38">
                  <c:v>29.916666666666668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31.083333333333332</c:v>
                </c:pt>
                <c:pt idx="43">
                  <c:v>32</c:v>
                </c:pt>
                <c:pt idx="44">
                  <c:v>32.666666666666664</c:v>
                </c:pt>
                <c:pt idx="45">
                  <c:v>33.666666666666664</c:v>
                </c:pt>
                <c:pt idx="46">
                  <c:v>33.833333333333336</c:v>
                </c:pt>
                <c:pt idx="47">
                  <c:v>34.166666666666664</c:v>
                </c:pt>
                <c:pt idx="48">
                  <c:v>34.333333333333336</c:v>
                </c:pt>
                <c:pt idx="49">
                  <c:v>35.25</c:v>
                </c:pt>
                <c:pt idx="50">
                  <c:v>35.333333333333336</c:v>
                </c:pt>
                <c:pt idx="51">
                  <c:v>36.333333333333336</c:v>
                </c:pt>
                <c:pt idx="52">
                  <c:v>36.416666666666664</c:v>
                </c:pt>
                <c:pt idx="53">
                  <c:v>36.833333333333336</c:v>
                </c:pt>
                <c:pt idx="54">
                  <c:v>37</c:v>
                </c:pt>
                <c:pt idx="55">
                  <c:v>40.333333333333336</c:v>
                </c:pt>
                <c:pt idx="56">
                  <c:v>41.5</c:v>
                </c:pt>
                <c:pt idx="57">
                  <c:v>43.416666666666664</c:v>
                </c:pt>
                <c:pt idx="58">
                  <c:v>45.833333333333336</c:v>
                </c:pt>
              </c:numCache>
            </c:numRef>
          </c:xVal>
          <c:yVal>
            <c:numRef>
              <c:f>T3M!$AL$2:$AL$214</c:f>
              <c:numCache>
                <c:formatCode>General</c:formatCode>
                <c:ptCount val="213"/>
                <c:pt idx="10">
                  <c:v>124.53489999999999</c:v>
                </c:pt>
                <c:pt idx="11">
                  <c:v>124.53489999999999</c:v>
                </c:pt>
                <c:pt idx="12">
                  <c:v>124.53489999999999</c:v>
                </c:pt>
                <c:pt idx="13">
                  <c:v>124.53489999999999</c:v>
                </c:pt>
                <c:pt idx="14">
                  <c:v>124.53489999999999</c:v>
                </c:pt>
                <c:pt idx="15">
                  <c:v>124.53489999999999</c:v>
                </c:pt>
                <c:pt idx="16">
                  <c:v>124.53489999999999</c:v>
                </c:pt>
                <c:pt idx="17">
                  <c:v>124.53489999999999</c:v>
                </c:pt>
                <c:pt idx="18">
                  <c:v>124.53489999999999</c:v>
                </c:pt>
                <c:pt idx="19">
                  <c:v>124.53489999999999</c:v>
                </c:pt>
                <c:pt idx="21">
                  <c:v>124.53489999999999</c:v>
                </c:pt>
                <c:pt idx="22">
                  <c:v>124.53489999999999</c:v>
                </c:pt>
                <c:pt idx="23">
                  <c:v>124.53489999999999</c:v>
                </c:pt>
                <c:pt idx="24">
                  <c:v>124.53489999999999</c:v>
                </c:pt>
                <c:pt idx="25">
                  <c:v>124.53489999999999</c:v>
                </c:pt>
                <c:pt idx="26">
                  <c:v>124.53489999999999</c:v>
                </c:pt>
                <c:pt idx="27">
                  <c:v>124.53489999999999</c:v>
                </c:pt>
                <c:pt idx="28">
                  <c:v>124.53489999999999</c:v>
                </c:pt>
                <c:pt idx="29">
                  <c:v>124.53489999999999</c:v>
                </c:pt>
                <c:pt idx="30">
                  <c:v>124.53489999999999</c:v>
                </c:pt>
                <c:pt idx="31">
                  <c:v>124.53489999999999</c:v>
                </c:pt>
                <c:pt idx="32">
                  <c:v>124.53489999999999</c:v>
                </c:pt>
                <c:pt idx="33">
                  <c:v>124.53489999999999</c:v>
                </c:pt>
                <c:pt idx="34">
                  <c:v>124.53489999999999</c:v>
                </c:pt>
                <c:pt idx="35">
                  <c:v>124.53489999999999</c:v>
                </c:pt>
                <c:pt idx="36">
                  <c:v>124.53489999999999</c:v>
                </c:pt>
                <c:pt idx="37">
                  <c:v>124.53489999999999</c:v>
                </c:pt>
                <c:pt idx="38">
                  <c:v>124.53489999999999</c:v>
                </c:pt>
                <c:pt idx="39">
                  <c:v>124.53489999999999</c:v>
                </c:pt>
                <c:pt idx="40">
                  <c:v>124.53489999999999</c:v>
                </c:pt>
                <c:pt idx="41">
                  <c:v>124.53489999999999</c:v>
                </c:pt>
                <c:pt idx="42">
                  <c:v>124.53489999999999</c:v>
                </c:pt>
                <c:pt idx="43">
                  <c:v>124.53489999999999</c:v>
                </c:pt>
                <c:pt idx="44">
                  <c:v>124.53489999999999</c:v>
                </c:pt>
                <c:pt idx="45">
                  <c:v>124.53489999999999</c:v>
                </c:pt>
                <c:pt idx="46">
                  <c:v>124.53489999999999</c:v>
                </c:pt>
                <c:pt idx="47">
                  <c:v>124.53489999999999</c:v>
                </c:pt>
                <c:pt idx="48">
                  <c:v>124.53489999999999</c:v>
                </c:pt>
                <c:pt idx="49">
                  <c:v>124.53489999999999</c:v>
                </c:pt>
                <c:pt idx="50">
                  <c:v>124.53489999999999</c:v>
                </c:pt>
                <c:pt idx="51">
                  <c:v>124.53489999999999</c:v>
                </c:pt>
                <c:pt idx="52">
                  <c:v>124.53489999999999</c:v>
                </c:pt>
                <c:pt idx="53">
                  <c:v>124.53489999999999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8F-430F-8024-29FE966D94A7}"/>
            </c:ext>
          </c:extLst>
        </c:ser>
        <c:ser>
          <c:idx val="3"/>
          <c:order val="3"/>
          <c:tx>
            <c:v>Flow 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T3M!$AI$2:$AI$214</c:f>
              <c:numCache>
                <c:formatCode>General</c:formatCode>
                <c:ptCount val="213"/>
                <c:pt idx="0">
                  <c:v>9</c:v>
                </c:pt>
                <c:pt idx="1">
                  <c:v>10.166666666666666</c:v>
                </c:pt>
                <c:pt idx="2">
                  <c:v>10.666666666666666</c:v>
                </c:pt>
                <c:pt idx="3">
                  <c:v>11.333333333333334</c:v>
                </c:pt>
                <c:pt idx="4">
                  <c:v>13.333333333333334</c:v>
                </c:pt>
                <c:pt idx="5">
                  <c:v>14.416666666666666</c:v>
                </c:pt>
                <c:pt idx="6">
                  <c:v>15.833333333333334</c:v>
                </c:pt>
                <c:pt idx="7">
                  <c:v>16.666666666666668</c:v>
                </c:pt>
                <c:pt idx="8">
                  <c:v>16.916666666666668</c:v>
                </c:pt>
                <c:pt idx="9">
                  <c:v>17.75</c:v>
                </c:pt>
                <c:pt idx="10">
                  <c:v>19.083333333333332</c:v>
                </c:pt>
                <c:pt idx="11">
                  <c:v>19.416666666666668</c:v>
                </c:pt>
                <c:pt idx="12">
                  <c:v>20.333333333333332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22.916666666666668</c:v>
                </c:pt>
                <c:pt idx="17">
                  <c:v>23</c:v>
                </c:pt>
                <c:pt idx="18">
                  <c:v>23.083333333333332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24.916666666666668</c:v>
                </c:pt>
                <c:pt idx="24">
                  <c:v>25.25</c:v>
                </c:pt>
                <c:pt idx="25">
                  <c:v>25.333333333333332</c:v>
                </c:pt>
                <c:pt idx="26">
                  <c:v>25.666666666666668</c:v>
                </c:pt>
                <c:pt idx="27">
                  <c:v>25.75</c:v>
                </c:pt>
                <c:pt idx="28">
                  <c:v>26.333333333333332</c:v>
                </c:pt>
                <c:pt idx="29">
                  <c:v>26.583333333333332</c:v>
                </c:pt>
                <c:pt idx="30">
                  <c:v>26.833333333333332</c:v>
                </c:pt>
                <c:pt idx="31">
                  <c:v>27.416666666666668</c:v>
                </c:pt>
                <c:pt idx="32">
                  <c:v>27.916666666666668</c:v>
                </c:pt>
                <c:pt idx="33">
                  <c:v>28</c:v>
                </c:pt>
                <c:pt idx="34">
                  <c:v>28.333333333333332</c:v>
                </c:pt>
                <c:pt idx="35">
                  <c:v>28.416666666666668</c:v>
                </c:pt>
                <c:pt idx="36">
                  <c:v>28.916666666666668</c:v>
                </c:pt>
                <c:pt idx="37">
                  <c:v>29</c:v>
                </c:pt>
                <c:pt idx="38">
                  <c:v>29.916666666666668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31.083333333333332</c:v>
                </c:pt>
                <c:pt idx="43">
                  <c:v>32</c:v>
                </c:pt>
                <c:pt idx="44">
                  <c:v>32.666666666666664</c:v>
                </c:pt>
                <c:pt idx="45">
                  <c:v>33.666666666666664</c:v>
                </c:pt>
                <c:pt idx="46">
                  <c:v>33.833333333333336</c:v>
                </c:pt>
                <c:pt idx="47">
                  <c:v>34.166666666666664</c:v>
                </c:pt>
                <c:pt idx="48">
                  <c:v>34.333333333333336</c:v>
                </c:pt>
                <c:pt idx="49">
                  <c:v>35.25</c:v>
                </c:pt>
                <c:pt idx="50">
                  <c:v>35.333333333333336</c:v>
                </c:pt>
                <c:pt idx="51">
                  <c:v>36.333333333333336</c:v>
                </c:pt>
                <c:pt idx="52">
                  <c:v>36.416666666666664</c:v>
                </c:pt>
                <c:pt idx="53">
                  <c:v>36.833333333333336</c:v>
                </c:pt>
                <c:pt idx="54">
                  <c:v>37</c:v>
                </c:pt>
                <c:pt idx="55">
                  <c:v>40.333333333333336</c:v>
                </c:pt>
                <c:pt idx="56">
                  <c:v>41.5</c:v>
                </c:pt>
                <c:pt idx="57">
                  <c:v>43.416666666666664</c:v>
                </c:pt>
                <c:pt idx="58">
                  <c:v>45.833333333333336</c:v>
                </c:pt>
              </c:numCache>
            </c:numRef>
          </c:xVal>
          <c:yVal>
            <c:numRef>
              <c:f>T3M!$AM$2:$AM$214</c:f>
              <c:numCache>
                <c:formatCode>General</c:formatCode>
                <c:ptCount val="213"/>
                <c:pt idx="10">
                  <c:v>124.6349</c:v>
                </c:pt>
                <c:pt idx="11">
                  <c:v>124.6349</c:v>
                </c:pt>
                <c:pt idx="12">
                  <c:v>124.6349</c:v>
                </c:pt>
                <c:pt idx="13">
                  <c:v>124.6349</c:v>
                </c:pt>
                <c:pt idx="14">
                  <c:v>124.6349</c:v>
                </c:pt>
                <c:pt idx="15">
                  <c:v>124.6349</c:v>
                </c:pt>
                <c:pt idx="16">
                  <c:v>124.6349</c:v>
                </c:pt>
                <c:pt idx="17">
                  <c:v>124.6349</c:v>
                </c:pt>
                <c:pt idx="18">
                  <c:v>124.6349</c:v>
                </c:pt>
                <c:pt idx="19">
                  <c:v>124.6349</c:v>
                </c:pt>
                <c:pt idx="21">
                  <c:v>124.6349</c:v>
                </c:pt>
                <c:pt idx="22">
                  <c:v>124.6349</c:v>
                </c:pt>
                <c:pt idx="23">
                  <c:v>124.6349</c:v>
                </c:pt>
                <c:pt idx="24">
                  <c:v>124.6349</c:v>
                </c:pt>
                <c:pt idx="25">
                  <c:v>124.6349</c:v>
                </c:pt>
                <c:pt idx="26">
                  <c:v>124.6349</c:v>
                </c:pt>
                <c:pt idx="27">
                  <c:v>124.6349</c:v>
                </c:pt>
                <c:pt idx="28">
                  <c:v>124.6349</c:v>
                </c:pt>
                <c:pt idx="29">
                  <c:v>124.6349</c:v>
                </c:pt>
                <c:pt idx="30">
                  <c:v>124.6349</c:v>
                </c:pt>
                <c:pt idx="31">
                  <c:v>124.6349</c:v>
                </c:pt>
                <c:pt idx="32">
                  <c:v>124.6349</c:v>
                </c:pt>
                <c:pt idx="33">
                  <c:v>124.6349</c:v>
                </c:pt>
                <c:pt idx="34">
                  <c:v>124.6349</c:v>
                </c:pt>
                <c:pt idx="35">
                  <c:v>124.6349</c:v>
                </c:pt>
                <c:pt idx="36">
                  <c:v>124.6349</c:v>
                </c:pt>
                <c:pt idx="37">
                  <c:v>124.6349</c:v>
                </c:pt>
                <c:pt idx="38">
                  <c:v>124.6349</c:v>
                </c:pt>
                <c:pt idx="39">
                  <c:v>124.6349</c:v>
                </c:pt>
                <c:pt idx="40">
                  <c:v>124.6349</c:v>
                </c:pt>
                <c:pt idx="41">
                  <c:v>124.6349</c:v>
                </c:pt>
                <c:pt idx="42">
                  <c:v>124.6349</c:v>
                </c:pt>
                <c:pt idx="43">
                  <c:v>124.6349</c:v>
                </c:pt>
                <c:pt idx="44">
                  <c:v>124.6349</c:v>
                </c:pt>
                <c:pt idx="45">
                  <c:v>124.6349</c:v>
                </c:pt>
                <c:pt idx="46">
                  <c:v>124.6349</c:v>
                </c:pt>
                <c:pt idx="47">
                  <c:v>124.6349</c:v>
                </c:pt>
                <c:pt idx="48">
                  <c:v>124.6349</c:v>
                </c:pt>
                <c:pt idx="49">
                  <c:v>124.6349</c:v>
                </c:pt>
                <c:pt idx="50">
                  <c:v>124.6349</c:v>
                </c:pt>
                <c:pt idx="51">
                  <c:v>124.6349</c:v>
                </c:pt>
                <c:pt idx="52">
                  <c:v>124.6349</c:v>
                </c:pt>
                <c:pt idx="53">
                  <c:v>124.6349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8F-430F-8024-29FE966D94A7}"/>
            </c:ext>
          </c:extLst>
        </c:ser>
        <c:ser>
          <c:idx val="4"/>
          <c:order val="4"/>
          <c:tx>
            <c:v>Flow 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T3M!$AI$2:$AI$214</c:f>
              <c:numCache>
                <c:formatCode>General</c:formatCode>
                <c:ptCount val="213"/>
                <c:pt idx="0">
                  <c:v>9</c:v>
                </c:pt>
                <c:pt idx="1">
                  <c:v>10.166666666666666</c:v>
                </c:pt>
                <c:pt idx="2">
                  <c:v>10.666666666666666</c:v>
                </c:pt>
                <c:pt idx="3">
                  <c:v>11.333333333333334</c:v>
                </c:pt>
                <c:pt idx="4">
                  <c:v>13.333333333333334</c:v>
                </c:pt>
                <c:pt idx="5">
                  <c:v>14.416666666666666</c:v>
                </c:pt>
                <c:pt idx="6">
                  <c:v>15.833333333333334</c:v>
                </c:pt>
                <c:pt idx="7">
                  <c:v>16.666666666666668</c:v>
                </c:pt>
                <c:pt idx="8">
                  <c:v>16.916666666666668</c:v>
                </c:pt>
                <c:pt idx="9">
                  <c:v>17.75</c:v>
                </c:pt>
                <c:pt idx="10">
                  <c:v>19.083333333333332</c:v>
                </c:pt>
                <c:pt idx="11">
                  <c:v>19.416666666666668</c:v>
                </c:pt>
                <c:pt idx="12">
                  <c:v>20.333333333333332</c:v>
                </c:pt>
                <c:pt idx="13">
                  <c:v>20.5</c:v>
                </c:pt>
                <c:pt idx="14">
                  <c:v>21</c:v>
                </c:pt>
                <c:pt idx="15">
                  <c:v>22</c:v>
                </c:pt>
                <c:pt idx="16">
                  <c:v>22.916666666666668</c:v>
                </c:pt>
                <c:pt idx="17">
                  <c:v>23</c:v>
                </c:pt>
                <c:pt idx="18">
                  <c:v>23.083333333333332</c:v>
                </c:pt>
                <c:pt idx="19">
                  <c:v>23.5</c:v>
                </c:pt>
                <c:pt idx="20">
                  <c:v>24</c:v>
                </c:pt>
                <c:pt idx="21">
                  <c:v>24.5</c:v>
                </c:pt>
                <c:pt idx="22">
                  <c:v>24.75</c:v>
                </c:pt>
                <c:pt idx="23">
                  <c:v>24.916666666666668</c:v>
                </c:pt>
                <c:pt idx="24">
                  <c:v>25.25</c:v>
                </c:pt>
                <c:pt idx="25">
                  <c:v>25.333333333333332</c:v>
                </c:pt>
                <c:pt idx="26">
                  <c:v>25.666666666666668</c:v>
                </c:pt>
                <c:pt idx="27">
                  <c:v>25.75</c:v>
                </c:pt>
                <c:pt idx="28">
                  <c:v>26.333333333333332</c:v>
                </c:pt>
                <c:pt idx="29">
                  <c:v>26.583333333333332</c:v>
                </c:pt>
                <c:pt idx="30">
                  <c:v>26.833333333333332</c:v>
                </c:pt>
                <c:pt idx="31">
                  <c:v>27.416666666666668</c:v>
                </c:pt>
                <c:pt idx="32">
                  <c:v>27.916666666666668</c:v>
                </c:pt>
                <c:pt idx="33">
                  <c:v>28</c:v>
                </c:pt>
                <c:pt idx="34">
                  <c:v>28.333333333333332</c:v>
                </c:pt>
                <c:pt idx="35">
                  <c:v>28.416666666666668</c:v>
                </c:pt>
                <c:pt idx="36">
                  <c:v>28.916666666666668</c:v>
                </c:pt>
                <c:pt idx="37">
                  <c:v>29</c:v>
                </c:pt>
                <c:pt idx="38">
                  <c:v>29.916666666666668</c:v>
                </c:pt>
                <c:pt idx="39">
                  <c:v>30</c:v>
                </c:pt>
                <c:pt idx="40">
                  <c:v>30.5</c:v>
                </c:pt>
                <c:pt idx="41">
                  <c:v>30.75</c:v>
                </c:pt>
                <c:pt idx="42">
                  <c:v>31.083333333333332</c:v>
                </c:pt>
                <c:pt idx="43">
                  <c:v>32</c:v>
                </c:pt>
                <c:pt idx="44">
                  <c:v>32.666666666666664</c:v>
                </c:pt>
                <c:pt idx="45">
                  <c:v>33.666666666666664</c:v>
                </c:pt>
                <c:pt idx="46">
                  <c:v>33.833333333333336</c:v>
                </c:pt>
                <c:pt idx="47">
                  <c:v>34.166666666666664</c:v>
                </c:pt>
                <c:pt idx="48">
                  <c:v>34.333333333333336</c:v>
                </c:pt>
                <c:pt idx="49">
                  <c:v>35.25</c:v>
                </c:pt>
                <c:pt idx="50">
                  <c:v>35.333333333333336</c:v>
                </c:pt>
                <c:pt idx="51">
                  <c:v>36.333333333333336</c:v>
                </c:pt>
                <c:pt idx="52">
                  <c:v>36.416666666666664</c:v>
                </c:pt>
                <c:pt idx="53">
                  <c:v>36.833333333333336</c:v>
                </c:pt>
                <c:pt idx="54">
                  <c:v>37</c:v>
                </c:pt>
                <c:pt idx="55">
                  <c:v>40.333333333333336</c:v>
                </c:pt>
                <c:pt idx="56">
                  <c:v>41.5</c:v>
                </c:pt>
                <c:pt idx="57">
                  <c:v>43.416666666666664</c:v>
                </c:pt>
                <c:pt idx="58">
                  <c:v>45.833333333333336</c:v>
                </c:pt>
              </c:numCache>
            </c:numRef>
          </c:xVal>
          <c:yVal>
            <c:numRef>
              <c:f>T3M!$AN$2:$AN$214</c:f>
              <c:numCache>
                <c:formatCode>General</c:formatCode>
                <c:ptCount val="213"/>
                <c:pt idx="6">
                  <c:v>124.8584</c:v>
                </c:pt>
                <c:pt idx="7">
                  <c:v>124.8584</c:v>
                </c:pt>
                <c:pt idx="10">
                  <c:v>124.8584</c:v>
                </c:pt>
                <c:pt idx="11">
                  <c:v>124.8584</c:v>
                </c:pt>
                <c:pt idx="12">
                  <c:v>124.8584</c:v>
                </c:pt>
                <c:pt idx="13">
                  <c:v>124.8584</c:v>
                </c:pt>
                <c:pt idx="14">
                  <c:v>124.8584</c:v>
                </c:pt>
                <c:pt idx="15">
                  <c:v>124.8584</c:v>
                </c:pt>
                <c:pt idx="16">
                  <c:v>124.8584</c:v>
                </c:pt>
                <c:pt idx="17">
                  <c:v>124.8584</c:v>
                </c:pt>
                <c:pt idx="18">
                  <c:v>124.8584</c:v>
                </c:pt>
                <c:pt idx="19">
                  <c:v>124.8584</c:v>
                </c:pt>
                <c:pt idx="21">
                  <c:v>124.8584</c:v>
                </c:pt>
                <c:pt idx="22">
                  <c:v>124.8584</c:v>
                </c:pt>
                <c:pt idx="23">
                  <c:v>124.8584</c:v>
                </c:pt>
                <c:pt idx="24">
                  <c:v>124.8584</c:v>
                </c:pt>
                <c:pt idx="25">
                  <c:v>124.8584</c:v>
                </c:pt>
                <c:pt idx="26">
                  <c:v>124.8584</c:v>
                </c:pt>
                <c:pt idx="27">
                  <c:v>124.8584</c:v>
                </c:pt>
                <c:pt idx="28">
                  <c:v>124.8584</c:v>
                </c:pt>
                <c:pt idx="29">
                  <c:v>124.8584</c:v>
                </c:pt>
                <c:pt idx="30">
                  <c:v>124.8584</c:v>
                </c:pt>
                <c:pt idx="31">
                  <c:v>124.8584</c:v>
                </c:pt>
                <c:pt idx="32">
                  <c:v>124.8584</c:v>
                </c:pt>
                <c:pt idx="33">
                  <c:v>124.8584</c:v>
                </c:pt>
                <c:pt idx="34">
                  <c:v>124.8584</c:v>
                </c:pt>
                <c:pt idx="35">
                  <c:v>124.8584</c:v>
                </c:pt>
                <c:pt idx="36">
                  <c:v>124.8584</c:v>
                </c:pt>
                <c:pt idx="37">
                  <c:v>124.8584</c:v>
                </c:pt>
                <c:pt idx="38">
                  <c:v>124.8584</c:v>
                </c:pt>
                <c:pt idx="39">
                  <c:v>124.8584</c:v>
                </c:pt>
                <c:pt idx="40">
                  <c:v>124.8584</c:v>
                </c:pt>
                <c:pt idx="41">
                  <c:v>124.8584</c:v>
                </c:pt>
                <c:pt idx="42">
                  <c:v>124.8584</c:v>
                </c:pt>
                <c:pt idx="43">
                  <c:v>124.8584</c:v>
                </c:pt>
                <c:pt idx="44">
                  <c:v>124.8584</c:v>
                </c:pt>
                <c:pt idx="45">
                  <c:v>124.8584</c:v>
                </c:pt>
                <c:pt idx="46">
                  <c:v>124.8584</c:v>
                </c:pt>
                <c:pt idx="47">
                  <c:v>124.8584</c:v>
                </c:pt>
                <c:pt idx="48">
                  <c:v>124.8584</c:v>
                </c:pt>
                <c:pt idx="49">
                  <c:v>124.8584</c:v>
                </c:pt>
                <c:pt idx="50">
                  <c:v>124.8584</c:v>
                </c:pt>
                <c:pt idx="51">
                  <c:v>124.8584</c:v>
                </c:pt>
                <c:pt idx="52">
                  <c:v>124.8584</c:v>
                </c:pt>
                <c:pt idx="53">
                  <c:v>124.8584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8F-430F-8024-29FE966D9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51312"/>
        <c:axId val="477746064"/>
      </c:scatterChart>
      <c:valAx>
        <c:axId val="477751312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Along Transect - ft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46064"/>
        <c:crosses val="autoZero"/>
        <c:crossBetween val="midCat"/>
      </c:valAx>
      <c:valAx>
        <c:axId val="47774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Elevation - ft USGS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51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T4M!$Q$1</c:f>
              <c:strCache>
                <c:ptCount val="1"/>
                <c:pt idx="0">
                  <c:v>Subs Elev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T4M!$P$2:$P$192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T4M!$Q$2:$Q$192</c:f>
              <c:numCache>
                <c:formatCode>General</c:formatCode>
                <c:ptCount val="191"/>
                <c:pt idx="0">
                  <c:v>114.24973316666666</c:v>
                </c:pt>
                <c:pt idx="1">
                  <c:v>114.48973316666667</c:v>
                </c:pt>
                <c:pt idx="2">
                  <c:v>113.84973316666667</c:v>
                </c:pt>
                <c:pt idx="3">
                  <c:v>113.74973316666666</c:v>
                </c:pt>
                <c:pt idx="4">
                  <c:v>112.64723316666667</c:v>
                </c:pt>
                <c:pt idx="5">
                  <c:v>112.27973316666666</c:v>
                </c:pt>
                <c:pt idx="6">
                  <c:v>112.26323316666667</c:v>
                </c:pt>
                <c:pt idx="7">
                  <c:v>112.16423316666666</c:v>
                </c:pt>
                <c:pt idx="8">
                  <c:v>112.13123316666666</c:v>
                </c:pt>
                <c:pt idx="9">
                  <c:v>112.09823316666666</c:v>
                </c:pt>
                <c:pt idx="10">
                  <c:v>111.99923316666666</c:v>
                </c:pt>
                <c:pt idx="11">
                  <c:v>111.86723316666667</c:v>
                </c:pt>
                <c:pt idx="12">
                  <c:v>111.83423316666666</c:v>
                </c:pt>
                <c:pt idx="13">
                  <c:v>111.80123316666666</c:v>
                </c:pt>
                <c:pt idx="14">
                  <c:v>111.66923316666666</c:v>
                </c:pt>
                <c:pt idx="15">
                  <c:v>111.57023316666667</c:v>
                </c:pt>
                <c:pt idx="16">
                  <c:v>111.35573316666667</c:v>
                </c:pt>
                <c:pt idx="17">
                  <c:v>111.28973316666666</c:v>
                </c:pt>
                <c:pt idx="18">
                  <c:v>111.11223316666667</c:v>
                </c:pt>
                <c:pt idx="19">
                  <c:v>111.08264983333333</c:v>
                </c:pt>
                <c:pt idx="20">
                  <c:v>110.7868165</c:v>
                </c:pt>
                <c:pt idx="21">
                  <c:v>110.62410816666667</c:v>
                </c:pt>
                <c:pt idx="22">
                  <c:v>110.57973316666667</c:v>
                </c:pt>
                <c:pt idx="23">
                  <c:v>110.6209096372549</c:v>
                </c:pt>
                <c:pt idx="24">
                  <c:v>110.67385081372549</c:v>
                </c:pt>
                <c:pt idx="25">
                  <c:v>110.72090963725489</c:v>
                </c:pt>
                <c:pt idx="26">
                  <c:v>110.77973316666666</c:v>
                </c:pt>
                <c:pt idx="27">
                  <c:v>111.63064225757576</c:v>
                </c:pt>
                <c:pt idx="28">
                  <c:v>112.26882407575756</c:v>
                </c:pt>
                <c:pt idx="29">
                  <c:v>113.11973316666666</c:v>
                </c:pt>
                <c:pt idx="30">
                  <c:v>113.01306649999999</c:v>
                </c:pt>
                <c:pt idx="31">
                  <c:v>112.87973316666667</c:v>
                </c:pt>
                <c:pt idx="32">
                  <c:v>112.79973316666667</c:v>
                </c:pt>
                <c:pt idx="33">
                  <c:v>112.87473316666667</c:v>
                </c:pt>
                <c:pt idx="34">
                  <c:v>112.94973316666666</c:v>
                </c:pt>
                <c:pt idx="35">
                  <c:v>113.13723316666666</c:v>
                </c:pt>
                <c:pt idx="36">
                  <c:v>113.24973316666666</c:v>
                </c:pt>
                <c:pt idx="37">
                  <c:v>113.41127162820511</c:v>
                </c:pt>
                <c:pt idx="38">
                  <c:v>113.46511778205128</c:v>
                </c:pt>
                <c:pt idx="39">
                  <c:v>113.57281008974358</c:v>
                </c:pt>
                <c:pt idx="40">
                  <c:v>113.94973316666666</c:v>
                </c:pt>
                <c:pt idx="41">
                  <c:v>114.27973316666666</c:v>
                </c:pt>
                <c:pt idx="42">
                  <c:v>113.98973316666667</c:v>
                </c:pt>
                <c:pt idx="43">
                  <c:v>113.97973316666666</c:v>
                </c:pt>
                <c:pt idx="44">
                  <c:v>114.08973316666666</c:v>
                </c:pt>
                <c:pt idx="45">
                  <c:v>114.58973316666666</c:v>
                </c:pt>
                <c:pt idx="46">
                  <c:v>114.82973316666667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25-4F89-AD26-F4E656D74251}"/>
            </c:ext>
          </c:extLst>
        </c:ser>
        <c:ser>
          <c:idx val="1"/>
          <c:order val="1"/>
          <c:tx>
            <c:strRef>
              <c:f>T4M!$T$1</c:f>
              <c:strCache>
                <c:ptCount val="1"/>
                <c:pt idx="0">
                  <c:v>1 W Elev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T4M!$P$2:$P$192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T4M!$T$2:$T$192</c:f>
              <c:numCache>
                <c:formatCode>General</c:formatCode>
                <c:ptCount val="191"/>
                <c:pt idx="5">
                  <c:v>113.17973316666667</c:v>
                </c:pt>
                <c:pt idx="6">
                  <c:v>113.17434427777778</c:v>
                </c:pt>
                <c:pt idx="7">
                  <c:v>113.14201094444444</c:v>
                </c:pt>
                <c:pt idx="8">
                  <c:v>113.13123316666666</c:v>
                </c:pt>
                <c:pt idx="9">
                  <c:v>113.05573316666666</c:v>
                </c:pt>
                <c:pt idx="10">
                  <c:v>112.82923316666665</c:v>
                </c:pt>
                <c:pt idx="11">
                  <c:v>112.93415624358974</c:v>
                </c:pt>
                <c:pt idx="12">
                  <c:v>112.9603870128205</c:v>
                </c:pt>
                <c:pt idx="13">
                  <c:v>112.98661778205128</c:v>
                </c:pt>
                <c:pt idx="14">
                  <c:v>113.09154085897435</c:v>
                </c:pt>
                <c:pt idx="15">
                  <c:v>113.17023316666666</c:v>
                </c:pt>
                <c:pt idx="16">
                  <c:v>113.24928155376344</c:v>
                </c:pt>
                <c:pt idx="17">
                  <c:v>113.2736041344086</c:v>
                </c:pt>
                <c:pt idx="18">
                  <c:v>113.36707187634408</c:v>
                </c:pt>
                <c:pt idx="19">
                  <c:v>113.38264983333333</c:v>
                </c:pt>
                <c:pt idx="20">
                  <c:v>113.18681650000001</c:v>
                </c:pt>
                <c:pt idx="21">
                  <c:v>113.12467959523811</c:v>
                </c:pt>
                <c:pt idx="22">
                  <c:v>113.10773316666668</c:v>
                </c:pt>
                <c:pt idx="23">
                  <c:v>113.1809096372549</c:v>
                </c:pt>
                <c:pt idx="24">
                  <c:v>112.66042224229692</c:v>
                </c:pt>
                <c:pt idx="25">
                  <c:v>112.19776678011203</c:v>
                </c:pt>
                <c:pt idx="26">
                  <c:v>111.61944745238094</c:v>
                </c:pt>
                <c:pt idx="27">
                  <c:v>111.96064225757576</c:v>
                </c:pt>
                <c:pt idx="28">
                  <c:v>112.60722407575756</c:v>
                </c:pt>
                <c:pt idx="29">
                  <c:v>113.46933316666666</c:v>
                </c:pt>
                <c:pt idx="30">
                  <c:v>113.38506649999999</c:v>
                </c:pt>
                <c:pt idx="31">
                  <c:v>113.27973316666667</c:v>
                </c:pt>
                <c:pt idx="32">
                  <c:v>113.28973316666666</c:v>
                </c:pt>
                <c:pt idx="33">
                  <c:v>113.42473316666667</c:v>
                </c:pt>
                <c:pt idx="34">
                  <c:v>113.42473316666667</c:v>
                </c:pt>
                <c:pt idx="35">
                  <c:v>113.42473316666667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25-4F89-AD26-F4E656D74251}"/>
            </c:ext>
          </c:extLst>
        </c:ser>
        <c:ser>
          <c:idx val="2"/>
          <c:order val="2"/>
          <c:tx>
            <c:strRef>
              <c:f>T4M!$X$1</c:f>
              <c:strCache>
                <c:ptCount val="1"/>
                <c:pt idx="0">
                  <c:v>2 W Elev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T4M!$P$2:$P$192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T4M!$X$2:$X$192</c:f>
              <c:numCache>
                <c:formatCode>General</c:formatCode>
                <c:ptCount val="191"/>
                <c:pt idx="4">
                  <c:v>113.26323316666667</c:v>
                </c:pt>
                <c:pt idx="5">
                  <c:v>113.26323316666667</c:v>
                </c:pt>
                <c:pt idx="6">
                  <c:v>113.26323316666667</c:v>
                </c:pt>
                <c:pt idx="7">
                  <c:v>113.16423316666666</c:v>
                </c:pt>
                <c:pt idx="8">
                  <c:v>113.13123316666666</c:v>
                </c:pt>
                <c:pt idx="9">
                  <c:v>113.13156649999999</c:v>
                </c:pt>
                <c:pt idx="10">
                  <c:v>113.1325665</c:v>
                </c:pt>
                <c:pt idx="11">
                  <c:v>113.13389983333333</c:v>
                </c:pt>
                <c:pt idx="12">
                  <c:v>113.13423316666666</c:v>
                </c:pt>
                <c:pt idx="13">
                  <c:v>113.14498316666666</c:v>
                </c:pt>
                <c:pt idx="14">
                  <c:v>113.18798316666665</c:v>
                </c:pt>
                <c:pt idx="15">
                  <c:v>113.22023316666667</c:v>
                </c:pt>
                <c:pt idx="16">
                  <c:v>113.32024929569893</c:v>
                </c:pt>
                <c:pt idx="17">
                  <c:v>113.35102348924731</c:v>
                </c:pt>
                <c:pt idx="18">
                  <c:v>113.46384606989247</c:v>
                </c:pt>
                <c:pt idx="19">
                  <c:v>113.48264983333334</c:v>
                </c:pt>
                <c:pt idx="20">
                  <c:v>113.5168165</c:v>
                </c:pt>
                <c:pt idx="21">
                  <c:v>113.44410816666667</c:v>
                </c:pt>
                <c:pt idx="22">
                  <c:v>113.10973316666667</c:v>
                </c:pt>
                <c:pt idx="23">
                  <c:v>112.81257630392156</c:v>
                </c:pt>
                <c:pt idx="24">
                  <c:v>112.43051748039215</c:v>
                </c:pt>
                <c:pt idx="25">
                  <c:v>112.0909096372549</c:v>
                </c:pt>
                <c:pt idx="26">
                  <c:v>111.66639983333333</c:v>
                </c:pt>
                <c:pt idx="27">
                  <c:v>112.13064225757576</c:v>
                </c:pt>
                <c:pt idx="28">
                  <c:v>112.78082407575756</c:v>
                </c:pt>
                <c:pt idx="29">
                  <c:v>113.64773316666667</c:v>
                </c:pt>
                <c:pt idx="30">
                  <c:v>113.5730665</c:v>
                </c:pt>
                <c:pt idx="31">
                  <c:v>113.47973316666666</c:v>
                </c:pt>
                <c:pt idx="32">
                  <c:v>113.54373316666667</c:v>
                </c:pt>
                <c:pt idx="33">
                  <c:v>113.71473316666668</c:v>
                </c:pt>
                <c:pt idx="34">
                  <c:v>113.64364621014492</c:v>
                </c:pt>
                <c:pt idx="35">
                  <c:v>113.46592881884058</c:v>
                </c:pt>
                <c:pt idx="36">
                  <c:v>113.35929838405796</c:v>
                </c:pt>
                <c:pt idx="37">
                  <c:v>113.41127162820511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25-4F89-AD26-F4E656D74251}"/>
            </c:ext>
          </c:extLst>
        </c:ser>
        <c:ser>
          <c:idx val="3"/>
          <c:order val="3"/>
          <c:tx>
            <c:strRef>
              <c:f>T4M!$AB$1</c:f>
              <c:strCache>
                <c:ptCount val="1"/>
                <c:pt idx="0">
                  <c:v>3 W Elev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T4M!$P$2:$P$192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T4M!$AB$2:$AB$192</c:f>
              <c:numCache>
                <c:formatCode>General</c:formatCode>
                <c:ptCount val="191"/>
                <c:pt idx="4">
                  <c:v>113.94723316666666</c:v>
                </c:pt>
                <c:pt idx="5">
                  <c:v>113.59223316666666</c:v>
                </c:pt>
                <c:pt idx="6">
                  <c:v>113.58823316666667</c:v>
                </c:pt>
                <c:pt idx="7">
                  <c:v>113.56423316666667</c:v>
                </c:pt>
                <c:pt idx="8">
                  <c:v>113.19123316666666</c:v>
                </c:pt>
                <c:pt idx="9">
                  <c:v>113.40823316666666</c:v>
                </c:pt>
                <c:pt idx="10">
                  <c:v>113.39256649999999</c:v>
                </c:pt>
                <c:pt idx="11">
                  <c:v>113.37167761111111</c:v>
                </c:pt>
                <c:pt idx="12">
                  <c:v>113.36645538888888</c:v>
                </c:pt>
                <c:pt idx="13">
                  <c:v>113.36123316666666</c:v>
                </c:pt>
                <c:pt idx="14">
                  <c:v>113.40923316666665</c:v>
                </c:pt>
                <c:pt idx="15">
                  <c:v>113.34023316666666</c:v>
                </c:pt>
                <c:pt idx="16">
                  <c:v>113.35573316666667</c:v>
                </c:pt>
                <c:pt idx="17">
                  <c:v>113.38973316666666</c:v>
                </c:pt>
                <c:pt idx="18">
                  <c:v>113.51223316666668</c:v>
                </c:pt>
                <c:pt idx="19">
                  <c:v>113.52355892424242</c:v>
                </c:pt>
                <c:pt idx="20">
                  <c:v>113.63681649999999</c:v>
                </c:pt>
                <c:pt idx="21">
                  <c:v>113.68410816666668</c:v>
                </c:pt>
                <c:pt idx="22">
                  <c:v>113.62336953030304</c:v>
                </c:pt>
                <c:pt idx="23">
                  <c:v>113.64545509180036</c:v>
                </c:pt>
                <c:pt idx="24">
                  <c:v>113.67385081372549</c:v>
                </c:pt>
                <c:pt idx="25">
                  <c:v>113.58090963725489</c:v>
                </c:pt>
                <c:pt idx="26">
                  <c:v>113.67973316666667</c:v>
                </c:pt>
                <c:pt idx="27">
                  <c:v>113.21635654329005</c:v>
                </c:pt>
                <c:pt idx="28">
                  <c:v>112.86882407575756</c:v>
                </c:pt>
                <c:pt idx="29">
                  <c:v>113.71973316666666</c:v>
                </c:pt>
                <c:pt idx="30">
                  <c:v>113.61306649999999</c:v>
                </c:pt>
                <c:pt idx="31">
                  <c:v>113.6755665</c:v>
                </c:pt>
                <c:pt idx="32">
                  <c:v>113.7130665</c:v>
                </c:pt>
                <c:pt idx="33">
                  <c:v>113.86639983333333</c:v>
                </c:pt>
                <c:pt idx="34">
                  <c:v>114.01973316666665</c:v>
                </c:pt>
                <c:pt idx="35">
                  <c:v>113.48723316666666</c:v>
                </c:pt>
                <c:pt idx="36">
                  <c:v>113.38973316666666</c:v>
                </c:pt>
                <c:pt idx="37">
                  <c:v>113.44627162820511</c:v>
                </c:pt>
                <c:pt idx="38">
                  <c:v>113.46511778205128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25-4F89-AD26-F4E656D74251}"/>
            </c:ext>
          </c:extLst>
        </c:ser>
        <c:ser>
          <c:idx val="4"/>
          <c:order val="4"/>
          <c:tx>
            <c:strRef>
              <c:f>T4M!$AF$1</c:f>
              <c:strCache>
                <c:ptCount val="1"/>
                <c:pt idx="0">
                  <c:v>4 W Elev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T4M!$P$2:$P$192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T4M!$AF$2:$AF$192</c:f>
              <c:numCache>
                <c:formatCode>General</c:formatCode>
                <c:ptCount val="191"/>
                <c:pt idx="5">
                  <c:v>113.90973316666665</c:v>
                </c:pt>
                <c:pt idx="6">
                  <c:v>113.89323316666666</c:v>
                </c:pt>
                <c:pt idx="7">
                  <c:v>113.79423316666666</c:v>
                </c:pt>
                <c:pt idx="8">
                  <c:v>113.76123316666666</c:v>
                </c:pt>
                <c:pt idx="9">
                  <c:v>113.71198316666666</c:v>
                </c:pt>
                <c:pt idx="10">
                  <c:v>113.56423316666665</c:v>
                </c:pt>
                <c:pt idx="11">
                  <c:v>113.36723316666667</c:v>
                </c:pt>
                <c:pt idx="12">
                  <c:v>113.34867761111111</c:v>
                </c:pt>
                <c:pt idx="13">
                  <c:v>113.33012205555555</c:v>
                </c:pt>
                <c:pt idx="14">
                  <c:v>113.25589983333333</c:v>
                </c:pt>
                <c:pt idx="15">
                  <c:v>113.20023316666666</c:v>
                </c:pt>
                <c:pt idx="16">
                  <c:v>113.47637832795699</c:v>
                </c:pt>
                <c:pt idx="17">
                  <c:v>113.56134606989247</c:v>
                </c:pt>
                <c:pt idx="18">
                  <c:v>113.83674929569892</c:v>
                </c:pt>
                <c:pt idx="19">
                  <c:v>113.88264983333333</c:v>
                </c:pt>
                <c:pt idx="20">
                  <c:v>113.9868165</c:v>
                </c:pt>
                <c:pt idx="21">
                  <c:v>113.92410816666667</c:v>
                </c:pt>
                <c:pt idx="22">
                  <c:v>113.59223316666667</c:v>
                </c:pt>
                <c:pt idx="23">
                  <c:v>113.29799297058823</c:v>
                </c:pt>
                <c:pt idx="24">
                  <c:v>112.91968414705883</c:v>
                </c:pt>
                <c:pt idx="25">
                  <c:v>112.58340963725489</c:v>
                </c:pt>
                <c:pt idx="26">
                  <c:v>112.1630665</c:v>
                </c:pt>
                <c:pt idx="27">
                  <c:v>112.63064225757576</c:v>
                </c:pt>
                <c:pt idx="28">
                  <c:v>113.28082407575756</c:v>
                </c:pt>
                <c:pt idx="29">
                  <c:v>114.14773316666667</c:v>
                </c:pt>
                <c:pt idx="30">
                  <c:v>114.0730665</c:v>
                </c:pt>
                <c:pt idx="31">
                  <c:v>113.97973316666666</c:v>
                </c:pt>
                <c:pt idx="32">
                  <c:v>113.95973316666667</c:v>
                </c:pt>
                <c:pt idx="33">
                  <c:v>114.07473316666668</c:v>
                </c:pt>
                <c:pt idx="34">
                  <c:v>113.96511778205128</c:v>
                </c:pt>
                <c:pt idx="35">
                  <c:v>113.69107932051281</c:v>
                </c:pt>
                <c:pt idx="36">
                  <c:v>113.52665624358974</c:v>
                </c:pt>
                <c:pt idx="37">
                  <c:v>113.54973316666666</c:v>
                </c:pt>
                <c:pt idx="38">
                  <c:v>113.55742547435896</c:v>
                </c:pt>
                <c:pt idx="39">
                  <c:v>113.57281008974358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25-4F89-AD26-F4E656D74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082200"/>
        <c:axId val="821084824"/>
      </c:scatterChart>
      <c:valAx>
        <c:axId val="821082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084824"/>
        <c:crosses val="autoZero"/>
        <c:crossBetween val="midCat"/>
      </c:valAx>
      <c:valAx>
        <c:axId val="82108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082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Transect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4</a:t>
            </a:r>
            <a:endParaRPr lang="en-US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T4M!$AJ$1</c:f>
              <c:strCache>
                <c:ptCount val="1"/>
                <c:pt idx="0">
                  <c:v>Substrate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T4M!$AI$2:$AI$192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T4M!$AJ$2:$AJ$192</c:f>
              <c:numCache>
                <c:formatCode>General</c:formatCode>
                <c:ptCount val="191"/>
                <c:pt idx="0">
                  <c:v>114.24973316666666</c:v>
                </c:pt>
                <c:pt idx="1">
                  <c:v>114.48973316666667</c:v>
                </c:pt>
                <c:pt idx="2">
                  <c:v>113.84973316666667</c:v>
                </c:pt>
                <c:pt idx="3">
                  <c:v>113.74973316666666</c:v>
                </c:pt>
                <c:pt idx="4">
                  <c:v>112.64723316666667</c:v>
                </c:pt>
                <c:pt idx="5">
                  <c:v>112.27973316666666</c:v>
                </c:pt>
                <c:pt idx="6">
                  <c:v>112.26323316666667</c:v>
                </c:pt>
                <c:pt idx="7">
                  <c:v>112.16423316666666</c:v>
                </c:pt>
                <c:pt idx="8">
                  <c:v>112.13123316666666</c:v>
                </c:pt>
                <c:pt idx="9">
                  <c:v>112.09823316666666</c:v>
                </c:pt>
                <c:pt idx="10">
                  <c:v>111.99923316666666</c:v>
                </c:pt>
                <c:pt idx="11">
                  <c:v>111.86723316666667</c:v>
                </c:pt>
                <c:pt idx="12">
                  <c:v>111.83423316666666</c:v>
                </c:pt>
                <c:pt idx="13">
                  <c:v>111.80123316666666</c:v>
                </c:pt>
                <c:pt idx="14">
                  <c:v>111.66923316666666</c:v>
                </c:pt>
                <c:pt idx="15">
                  <c:v>111.57023316666667</c:v>
                </c:pt>
                <c:pt idx="16">
                  <c:v>111.35573316666667</c:v>
                </c:pt>
                <c:pt idx="17">
                  <c:v>111.28973316666666</c:v>
                </c:pt>
                <c:pt idx="18">
                  <c:v>111.11223316666667</c:v>
                </c:pt>
                <c:pt idx="19">
                  <c:v>111.08264983333333</c:v>
                </c:pt>
                <c:pt idx="20">
                  <c:v>110.7868165</c:v>
                </c:pt>
                <c:pt idx="21">
                  <c:v>110.62410816666667</c:v>
                </c:pt>
                <c:pt idx="22">
                  <c:v>110.57973316666667</c:v>
                </c:pt>
                <c:pt idx="23">
                  <c:v>110.6209096372549</c:v>
                </c:pt>
                <c:pt idx="24">
                  <c:v>110.67385081372549</c:v>
                </c:pt>
                <c:pt idx="25">
                  <c:v>110.72090963725489</c:v>
                </c:pt>
                <c:pt idx="26">
                  <c:v>110.77973316666666</c:v>
                </c:pt>
                <c:pt idx="27">
                  <c:v>111.63064225757576</c:v>
                </c:pt>
                <c:pt idx="28">
                  <c:v>112.26882407575756</c:v>
                </c:pt>
                <c:pt idx="29">
                  <c:v>113.11973316666666</c:v>
                </c:pt>
                <c:pt idx="30">
                  <c:v>113.01306649999999</c:v>
                </c:pt>
                <c:pt idx="31">
                  <c:v>112.87973316666667</c:v>
                </c:pt>
                <c:pt idx="32">
                  <c:v>112.79973316666667</c:v>
                </c:pt>
                <c:pt idx="33">
                  <c:v>112.87473316666667</c:v>
                </c:pt>
                <c:pt idx="34">
                  <c:v>112.94973316666666</c:v>
                </c:pt>
                <c:pt idx="35">
                  <c:v>113.13723316666666</c:v>
                </c:pt>
                <c:pt idx="36">
                  <c:v>113.24973316666666</c:v>
                </c:pt>
                <c:pt idx="37">
                  <c:v>113.41127162820511</c:v>
                </c:pt>
                <c:pt idx="38">
                  <c:v>113.46511778205128</c:v>
                </c:pt>
                <c:pt idx="39">
                  <c:v>113.57281008974358</c:v>
                </c:pt>
                <c:pt idx="40">
                  <c:v>113.94973316666666</c:v>
                </c:pt>
                <c:pt idx="41">
                  <c:v>114.27973316666666</c:v>
                </c:pt>
                <c:pt idx="42">
                  <c:v>113.98973316666667</c:v>
                </c:pt>
                <c:pt idx="43">
                  <c:v>113.97973316666666</c:v>
                </c:pt>
                <c:pt idx="44">
                  <c:v>114.08973316666666</c:v>
                </c:pt>
                <c:pt idx="45">
                  <c:v>114.58973316666666</c:v>
                </c:pt>
                <c:pt idx="46">
                  <c:v>114.82973316666667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82-4883-B4F7-439A740E5240}"/>
            </c:ext>
          </c:extLst>
        </c:ser>
        <c:ser>
          <c:idx val="1"/>
          <c:order val="1"/>
          <c:tx>
            <c:strRef>
              <c:f>T4M!$AK$1</c:f>
              <c:strCache>
                <c:ptCount val="1"/>
                <c:pt idx="0">
                  <c:v>Flow 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T4M!$AI$2:$AI$192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T4M!$AK$2:$AK$192</c:f>
              <c:numCache>
                <c:formatCode>General</c:formatCode>
                <c:ptCount val="191"/>
                <c:pt idx="5">
                  <c:v>113.15649999999999</c:v>
                </c:pt>
                <c:pt idx="6">
                  <c:v>113.15649999999999</c:v>
                </c:pt>
                <c:pt idx="7">
                  <c:v>113.15649999999999</c:v>
                </c:pt>
                <c:pt idx="8">
                  <c:v>113.15649999999999</c:v>
                </c:pt>
                <c:pt idx="9">
                  <c:v>113.15649999999999</c:v>
                </c:pt>
                <c:pt idx="10">
                  <c:v>113.15649999999999</c:v>
                </c:pt>
                <c:pt idx="11">
                  <c:v>113.15649999999999</c:v>
                </c:pt>
                <c:pt idx="12">
                  <c:v>113.15649999999999</c:v>
                </c:pt>
                <c:pt idx="13">
                  <c:v>113.15649999999999</c:v>
                </c:pt>
                <c:pt idx="14">
                  <c:v>113.15649999999999</c:v>
                </c:pt>
                <c:pt idx="15">
                  <c:v>113.15649999999999</c:v>
                </c:pt>
                <c:pt idx="16">
                  <c:v>113.15649999999999</c:v>
                </c:pt>
                <c:pt idx="17">
                  <c:v>113.15649999999999</c:v>
                </c:pt>
                <c:pt idx="18">
                  <c:v>113.15649999999999</c:v>
                </c:pt>
                <c:pt idx="19">
                  <c:v>113.15649999999999</c:v>
                </c:pt>
                <c:pt idx="20">
                  <c:v>113.15649999999999</c:v>
                </c:pt>
                <c:pt idx="21">
                  <c:v>113.15649999999999</c:v>
                </c:pt>
                <c:pt idx="22">
                  <c:v>113.15649999999999</c:v>
                </c:pt>
                <c:pt idx="23">
                  <c:v>113.15649999999999</c:v>
                </c:pt>
                <c:pt idx="24">
                  <c:v>113.15649999999999</c:v>
                </c:pt>
                <c:pt idx="25">
                  <c:v>113.15649999999999</c:v>
                </c:pt>
                <c:pt idx="26">
                  <c:v>113.15649999999999</c:v>
                </c:pt>
                <c:pt idx="27">
                  <c:v>113.15649999999999</c:v>
                </c:pt>
                <c:pt idx="28">
                  <c:v>113.15649999999999</c:v>
                </c:pt>
                <c:pt idx="29">
                  <c:v>113.15649999999999</c:v>
                </c:pt>
                <c:pt idx="30">
                  <c:v>113.15649999999999</c:v>
                </c:pt>
                <c:pt idx="31">
                  <c:v>113.15649999999999</c:v>
                </c:pt>
                <c:pt idx="32">
                  <c:v>113.15649999999999</c:v>
                </c:pt>
                <c:pt idx="33">
                  <c:v>113.15649999999999</c:v>
                </c:pt>
                <c:pt idx="34">
                  <c:v>113.15649999999999</c:v>
                </c:pt>
                <c:pt idx="35">
                  <c:v>113.15649999999999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82-4883-B4F7-439A740E5240}"/>
            </c:ext>
          </c:extLst>
        </c:ser>
        <c:ser>
          <c:idx val="2"/>
          <c:order val="2"/>
          <c:tx>
            <c:strRef>
              <c:f>T4M!$AL$1</c:f>
              <c:strCache>
                <c:ptCount val="1"/>
                <c:pt idx="0">
                  <c:v>Flow 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T4M!$AI$2:$AI$192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T4M!$AL$2:$AL$192</c:f>
              <c:numCache>
                <c:formatCode>General</c:formatCode>
                <c:ptCount val="191"/>
                <c:pt idx="4">
                  <c:v>113.2433</c:v>
                </c:pt>
                <c:pt idx="5">
                  <c:v>113.2433</c:v>
                </c:pt>
                <c:pt idx="6">
                  <c:v>113.2433</c:v>
                </c:pt>
                <c:pt idx="7">
                  <c:v>113.2433</c:v>
                </c:pt>
                <c:pt idx="8">
                  <c:v>113.2433</c:v>
                </c:pt>
                <c:pt idx="9">
                  <c:v>113.2433</c:v>
                </c:pt>
                <c:pt idx="10">
                  <c:v>113.2433</c:v>
                </c:pt>
                <c:pt idx="11">
                  <c:v>113.2433</c:v>
                </c:pt>
                <c:pt idx="12">
                  <c:v>113.2433</c:v>
                </c:pt>
                <c:pt idx="13">
                  <c:v>113.2433</c:v>
                </c:pt>
                <c:pt idx="14">
                  <c:v>113.2433</c:v>
                </c:pt>
                <c:pt idx="15">
                  <c:v>113.2433</c:v>
                </c:pt>
                <c:pt idx="16">
                  <c:v>113.2433</c:v>
                </c:pt>
                <c:pt idx="17">
                  <c:v>113.2433</c:v>
                </c:pt>
                <c:pt idx="18">
                  <c:v>113.2433</c:v>
                </c:pt>
                <c:pt idx="19">
                  <c:v>113.2433</c:v>
                </c:pt>
                <c:pt idx="20">
                  <c:v>113.2433</c:v>
                </c:pt>
                <c:pt idx="21">
                  <c:v>113.2433</c:v>
                </c:pt>
                <c:pt idx="22">
                  <c:v>113.2433</c:v>
                </c:pt>
                <c:pt idx="23">
                  <c:v>113.2433</c:v>
                </c:pt>
                <c:pt idx="24">
                  <c:v>113.2433</c:v>
                </c:pt>
                <c:pt idx="25">
                  <c:v>113.2433</c:v>
                </c:pt>
                <c:pt idx="26">
                  <c:v>113.2433</c:v>
                </c:pt>
                <c:pt idx="27">
                  <c:v>113.2433</c:v>
                </c:pt>
                <c:pt idx="28">
                  <c:v>113.2433</c:v>
                </c:pt>
                <c:pt idx="29">
                  <c:v>113.2433</c:v>
                </c:pt>
                <c:pt idx="30">
                  <c:v>113.2433</c:v>
                </c:pt>
                <c:pt idx="31">
                  <c:v>113.2433</c:v>
                </c:pt>
                <c:pt idx="32">
                  <c:v>113.2433</c:v>
                </c:pt>
                <c:pt idx="33">
                  <c:v>113.2433</c:v>
                </c:pt>
                <c:pt idx="34">
                  <c:v>113.2433</c:v>
                </c:pt>
                <c:pt idx="35">
                  <c:v>113.2433</c:v>
                </c:pt>
                <c:pt idx="36">
                  <c:v>113.2433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82-4883-B4F7-439A740E5240}"/>
            </c:ext>
          </c:extLst>
        </c:ser>
        <c:ser>
          <c:idx val="3"/>
          <c:order val="3"/>
          <c:tx>
            <c:strRef>
              <c:f>T4M!$AM$1</c:f>
              <c:strCache>
                <c:ptCount val="1"/>
                <c:pt idx="0">
                  <c:v>Flow 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T4M!$AI$2:$AI$192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T4M!$AM$2:$AM$192</c:f>
              <c:numCache>
                <c:formatCode>General</c:formatCode>
                <c:ptCount val="191"/>
                <c:pt idx="4">
                  <c:v>113.35469999999999</c:v>
                </c:pt>
                <c:pt idx="5">
                  <c:v>113.35469999999999</c:v>
                </c:pt>
                <c:pt idx="6">
                  <c:v>113.35469999999999</c:v>
                </c:pt>
                <c:pt idx="7">
                  <c:v>113.35469999999999</c:v>
                </c:pt>
                <c:pt idx="8">
                  <c:v>113.35469999999999</c:v>
                </c:pt>
                <c:pt idx="9">
                  <c:v>113.35469999999999</c:v>
                </c:pt>
                <c:pt idx="10">
                  <c:v>113.35469999999999</c:v>
                </c:pt>
                <c:pt idx="11">
                  <c:v>113.35469999999999</c:v>
                </c:pt>
                <c:pt idx="12">
                  <c:v>113.35469999999999</c:v>
                </c:pt>
                <c:pt idx="13">
                  <c:v>113.35469999999999</c:v>
                </c:pt>
                <c:pt idx="14">
                  <c:v>113.35469999999999</c:v>
                </c:pt>
                <c:pt idx="15">
                  <c:v>113.35469999999999</c:v>
                </c:pt>
                <c:pt idx="16">
                  <c:v>113.35469999999999</c:v>
                </c:pt>
                <c:pt idx="17">
                  <c:v>113.35469999999999</c:v>
                </c:pt>
                <c:pt idx="18">
                  <c:v>113.35469999999999</c:v>
                </c:pt>
                <c:pt idx="19">
                  <c:v>113.35469999999999</c:v>
                </c:pt>
                <c:pt idx="20">
                  <c:v>113.35469999999999</c:v>
                </c:pt>
                <c:pt idx="21">
                  <c:v>113.35469999999999</c:v>
                </c:pt>
                <c:pt idx="22">
                  <c:v>113.35469999999999</c:v>
                </c:pt>
                <c:pt idx="23">
                  <c:v>113.35469999999999</c:v>
                </c:pt>
                <c:pt idx="24">
                  <c:v>113.35469999999999</c:v>
                </c:pt>
                <c:pt idx="25">
                  <c:v>113.35469999999999</c:v>
                </c:pt>
                <c:pt idx="26">
                  <c:v>113.35469999999999</c:v>
                </c:pt>
                <c:pt idx="27">
                  <c:v>113.35469999999999</c:v>
                </c:pt>
                <c:pt idx="28">
                  <c:v>113.35469999999999</c:v>
                </c:pt>
                <c:pt idx="29">
                  <c:v>113.35469999999999</c:v>
                </c:pt>
                <c:pt idx="30">
                  <c:v>113.35469999999999</c:v>
                </c:pt>
                <c:pt idx="31">
                  <c:v>113.35469999999999</c:v>
                </c:pt>
                <c:pt idx="32">
                  <c:v>113.35469999999999</c:v>
                </c:pt>
                <c:pt idx="33">
                  <c:v>113.35469999999999</c:v>
                </c:pt>
                <c:pt idx="34">
                  <c:v>113.35469999999999</c:v>
                </c:pt>
                <c:pt idx="35">
                  <c:v>113.35469999999999</c:v>
                </c:pt>
                <c:pt idx="36">
                  <c:v>113.35469999999999</c:v>
                </c:pt>
                <c:pt idx="37">
                  <c:v>113.35469999999999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82-4883-B4F7-439A740E5240}"/>
            </c:ext>
          </c:extLst>
        </c:ser>
        <c:ser>
          <c:idx val="4"/>
          <c:order val="4"/>
          <c:tx>
            <c:strRef>
              <c:f>T4M!$AN$1</c:f>
              <c:strCache>
                <c:ptCount val="1"/>
                <c:pt idx="0">
                  <c:v>Flow 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T4M!$AI$2:$AI$192</c:f>
              <c:numCache>
                <c:formatCode>General</c:formatCode>
                <c:ptCount val="191"/>
                <c:pt idx="0">
                  <c:v>1.3333333333333333</c:v>
                </c:pt>
                <c:pt idx="1">
                  <c:v>1.75</c:v>
                </c:pt>
                <c:pt idx="2">
                  <c:v>2.1666666666666665</c:v>
                </c:pt>
                <c:pt idx="3">
                  <c:v>2.6666666666666665</c:v>
                </c:pt>
                <c:pt idx="4">
                  <c:v>2.9166666666666665</c:v>
                </c:pt>
                <c:pt idx="5">
                  <c:v>3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3.75</c:v>
                </c:pt>
                <c:pt idx="9">
                  <c:v>3.9166666666666665</c:v>
                </c:pt>
                <c:pt idx="10">
                  <c:v>4.4166666666666661</c:v>
                </c:pt>
                <c:pt idx="11">
                  <c:v>5.083333333333333</c:v>
                </c:pt>
                <c:pt idx="12">
                  <c:v>5.25</c:v>
                </c:pt>
                <c:pt idx="13">
                  <c:v>5.416666666666667</c:v>
                </c:pt>
                <c:pt idx="14">
                  <c:v>6.083333333333333</c:v>
                </c:pt>
                <c:pt idx="15">
                  <c:v>6.583333333333333</c:v>
                </c:pt>
                <c:pt idx="16">
                  <c:v>7.666666666666667</c:v>
                </c:pt>
                <c:pt idx="17">
                  <c:v>8</c:v>
                </c:pt>
                <c:pt idx="18">
                  <c:v>9</c:v>
                </c:pt>
                <c:pt idx="19">
                  <c:v>9.1666666666666661</c:v>
                </c:pt>
                <c:pt idx="20">
                  <c:v>10.833333333333334</c:v>
                </c:pt>
                <c:pt idx="21">
                  <c:v>11.75</c:v>
                </c:pt>
                <c:pt idx="22">
                  <c:v>12</c:v>
                </c:pt>
                <c:pt idx="23">
                  <c:v>12.291666666666666</c:v>
                </c:pt>
                <c:pt idx="24">
                  <c:v>12.666666666666666</c:v>
                </c:pt>
                <c:pt idx="25">
                  <c:v>13</c:v>
                </c:pt>
                <c:pt idx="26">
                  <c:v>13.416666666666666</c:v>
                </c:pt>
                <c:pt idx="27">
                  <c:v>13.75</c:v>
                </c:pt>
                <c:pt idx="28">
                  <c:v>14</c:v>
                </c:pt>
                <c:pt idx="29">
                  <c:v>14.333333333333334</c:v>
                </c:pt>
                <c:pt idx="30">
                  <c:v>15</c:v>
                </c:pt>
                <c:pt idx="31">
                  <c:v>15.833333333333334</c:v>
                </c:pt>
                <c:pt idx="32">
                  <c:v>16.333333333333332</c:v>
                </c:pt>
                <c:pt idx="33">
                  <c:v>16.666666666666668</c:v>
                </c:pt>
                <c:pt idx="34">
                  <c:v>17</c:v>
                </c:pt>
                <c:pt idx="35">
                  <c:v>17.833333333333332</c:v>
                </c:pt>
                <c:pt idx="36">
                  <c:v>18.333333333333332</c:v>
                </c:pt>
                <c:pt idx="37">
                  <c:v>18.583333333333332</c:v>
                </c:pt>
                <c:pt idx="38">
                  <c:v>18.666666666666668</c:v>
                </c:pt>
                <c:pt idx="39">
                  <c:v>18.833333333333332</c:v>
                </c:pt>
                <c:pt idx="40">
                  <c:v>19.416666666666668</c:v>
                </c:pt>
                <c:pt idx="41">
                  <c:v>20.916666666666668</c:v>
                </c:pt>
                <c:pt idx="42">
                  <c:v>23.75</c:v>
                </c:pt>
                <c:pt idx="43">
                  <c:v>27</c:v>
                </c:pt>
                <c:pt idx="44">
                  <c:v>30.083333333333332</c:v>
                </c:pt>
                <c:pt idx="45">
                  <c:v>30.416666666666668</c:v>
                </c:pt>
                <c:pt idx="46">
                  <c:v>34.5</c:v>
                </c:pt>
              </c:numCache>
            </c:numRef>
          </c:xVal>
          <c:yVal>
            <c:numRef>
              <c:f>T4M!$AN$2:$AN$192</c:f>
              <c:numCache>
                <c:formatCode>General</c:formatCode>
                <c:ptCount val="191"/>
                <c:pt idx="4">
                  <c:v>113.6602</c:v>
                </c:pt>
                <c:pt idx="5">
                  <c:v>113.6602</c:v>
                </c:pt>
                <c:pt idx="6">
                  <c:v>113.6602</c:v>
                </c:pt>
                <c:pt idx="7">
                  <c:v>113.6602</c:v>
                </c:pt>
                <c:pt idx="8">
                  <c:v>113.6602</c:v>
                </c:pt>
                <c:pt idx="9">
                  <c:v>113.6602</c:v>
                </c:pt>
                <c:pt idx="10">
                  <c:v>113.6602</c:v>
                </c:pt>
                <c:pt idx="11">
                  <c:v>113.6602</c:v>
                </c:pt>
                <c:pt idx="12">
                  <c:v>113.6602</c:v>
                </c:pt>
                <c:pt idx="13">
                  <c:v>113.6602</c:v>
                </c:pt>
                <c:pt idx="14">
                  <c:v>113.6602</c:v>
                </c:pt>
                <c:pt idx="15">
                  <c:v>113.6602</c:v>
                </c:pt>
                <c:pt idx="16">
                  <c:v>113.6602</c:v>
                </c:pt>
                <c:pt idx="17">
                  <c:v>113.6602</c:v>
                </c:pt>
                <c:pt idx="18">
                  <c:v>113.6602</c:v>
                </c:pt>
                <c:pt idx="19">
                  <c:v>113.6602</c:v>
                </c:pt>
                <c:pt idx="20">
                  <c:v>113.6602</c:v>
                </c:pt>
                <c:pt idx="21">
                  <c:v>113.6602</c:v>
                </c:pt>
                <c:pt idx="22">
                  <c:v>113.6602</c:v>
                </c:pt>
                <c:pt idx="23">
                  <c:v>113.6602</c:v>
                </c:pt>
                <c:pt idx="24">
                  <c:v>113.6602</c:v>
                </c:pt>
                <c:pt idx="25">
                  <c:v>113.6602</c:v>
                </c:pt>
                <c:pt idx="26">
                  <c:v>113.6602</c:v>
                </c:pt>
                <c:pt idx="27">
                  <c:v>113.6602</c:v>
                </c:pt>
                <c:pt idx="28">
                  <c:v>113.6602</c:v>
                </c:pt>
                <c:pt idx="29">
                  <c:v>113.6602</c:v>
                </c:pt>
                <c:pt idx="30">
                  <c:v>113.6602</c:v>
                </c:pt>
                <c:pt idx="31">
                  <c:v>113.6602</c:v>
                </c:pt>
                <c:pt idx="32">
                  <c:v>113.6602</c:v>
                </c:pt>
                <c:pt idx="33">
                  <c:v>113.6602</c:v>
                </c:pt>
                <c:pt idx="34">
                  <c:v>113.6602</c:v>
                </c:pt>
                <c:pt idx="35">
                  <c:v>113.6602</c:v>
                </c:pt>
                <c:pt idx="36">
                  <c:v>113.6602</c:v>
                </c:pt>
                <c:pt idx="37">
                  <c:v>113.6602</c:v>
                </c:pt>
                <c:pt idx="38">
                  <c:v>113.6602</c:v>
                </c:pt>
                <c:pt idx="39">
                  <c:v>113.6602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82-4883-B4F7-439A740E5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57320"/>
        <c:axId val="780857648"/>
      </c:scatterChart>
      <c:valAx>
        <c:axId val="780857320"/>
        <c:scaling>
          <c:orientation val="minMax"/>
          <c:max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Didstance Along Transect - 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857648"/>
        <c:crosses val="autoZero"/>
        <c:crossBetween val="midCat"/>
      </c:valAx>
      <c:valAx>
        <c:axId val="7808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Elevation - ft USGS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857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T2_tmp!$X$64</c:f>
              <c:strCache>
                <c:ptCount val="1"/>
                <c:pt idx="0">
                  <c:v>F3 Depth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T2_tmp!$W$65:$W$111</c:f>
              <c:numCache>
                <c:formatCode>General</c:formatCode>
                <c:ptCount val="47"/>
                <c:pt idx="0">
                  <c:v>4</c:v>
                </c:pt>
                <c:pt idx="1">
                  <c:v>4.666666666666667</c:v>
                </c:pt>
                <c:pt idx="2">
                  <c:v>4.75</c:v>
                </c:pt>
                <c:pt idx="3">
                  <c:v>5.166666666666667</c:v>
                </c:pt>
                <c:pt idx="4">
                  <c:v>5.416666666666667</c:v>
                </c:pt>
                <c:pt idx="5">
                  <c:v>5.583333333333333</c:v>
                </c:pt>
                <c:pt idx="6">
                  <c:v>6.083333333333333</c:v>
                </c:pt>
                <c:pt idx="7">
                  <c:v>6.666666666666667</c:v>
                </c:pt>
                <c:pt idx="8">
                  <c:v>6.75</c:v>
                </c:pt>
                <c:pt idx="9">
                  <c:v>8.4166666666666661</c:v>
                </c:pt>
                <c:pt idx="10">
                  <c:v>8.6666666666666661</c:v>
                </c:pt>
                <c:pt idx="11">
                  <c:v>9.5</c:v>
                </c:pt>
                <c:pt idx="12">
                  <c:v>9.6666666666666661</c:v>
                </c:pt>
                <c:pt idx="13">
                  <c:v>11.083333333333334</c:v>
                </c:pt>
                <c:pt idx="14">
                  <c:v>11.166666666666666</c:v>
                </c:pt>
                <c:pt idx="15">
                  <c:v>12</c:v>
                </c:pt>
                <c:pt idx="16">
                  <c:v>12.166666666666666</c:v>
                </c:pt>
                <c:pt idx="17">
                  <c:v>12.25</c:v>
                </c:pt>
                <c:pt idx="18">
                  <c:v>13.083333333333334</c:v>
                </c:pt>
                <c:pt idx="19">
                  <c:v>13.166666666666666</c:v>
                </c:pt>
                <c:pt idx="20">
                  <c:v>13.666666666666666</c:v>
                </c:pt>
                <c:pt idx="21">
                  <c:v>13.833333333333334</c:v>
                </c:pt>
                <c:pt idx="22">
                  <c:v>18.75</c:v>
                </c:pt>
                <c:pt idx="23">
                  <c:v>20.166666666666668</c:v>
                </c:pt>
                <c:pt idx="24">
                  <c:v>20.25</c:v>
                </c:pt>
                <c:pt idx="25">
                  <c:v>20.416666666666668</c:v>
                </c:pt>
                <c:pt idx="26">
                  <c:v>21.416666666666668</c:v>
                </c:pt>
                <c:pt idx="27">
                  <c:v>21.5</c:v>
                </c:pt>
                <c:pt idx="28">
                  <c:v>22.25</c:v>
                </c:pt>
                <c:pt idx="29">
                  <c:v>22.833333333333332</c:v>
                </c:pt>
                <c:pt idx="30">
                  <c:v>24.416666666666668</c:v>
                </c:pt>
                <c:pt idx="31">
                  <c:v>24.666666666666668</c:v>
                </c:pt>
                <c:pt idx="32">
                  <c:v>24.666666666666668</c:v>
                </c:pt>
                <c:pt idx="33">
                  <c:v>25.25</c:v>
                </c:pt>
                <c:pt idx="34">
                  <c:v>26</c:v>
                </c:pt>
                <c:pt idx="35">
                  <c:v>27.333333333333332</c:v>
                </c:pt>
                <c:pt idx="36">
                  <c:v>27.416666666666668</c:v>
                </c:pt>
                <c:pt idx="37">
                  <c:v>27.75</c:v>
                </c:pt>
                <c:pt idx="38">
                  <c:v>28.25</c:v>
                </c:pt>
                <c:pt idx="39">
                  <c:v>29</c:v>
                </c:pt>
                <c:pt idx="40">
                  <c:v>29.583333333333332</c:v>
                </c:pt>
                <c:pt idx="41">
                  <c:v>30.083333333333332</c:v>
                </c:pt>
                <c:pt idx="42">
                  <c:v>30.166666666666668</c:v>
                </c:pt>
                <c:pt idx="43">
                  <c:v>30.333333333333332</c:v>
                </c:pt>
                <c:pt idx="44">
                  <c:v>30.583333333333332</c:v>
                </c:pt>
                <c:pt idx="45">
                  <c:v>30.666666666666668</c:v>
                </c:pt>
                <c:pt idx="46">
                  <c:v>30.833333333333332</c:v>
                </c:pt>
              </c:numCache>
            </c:numRef>
          </c:xVal>
          <c:yVal>
            <c:numRef>
              <c:f>T2_tmp!$X$65:$X$111</c:f>
              <c:numCache>
                <c:formatCode>General</c:formatCode>
                <c:ptCount val="47"/>
                <c:pt idx="3">
                  <c:v>0.2</c:v>
                </c:pt>
                <c:pt idx="5">
                  <c:v>0.7</c:v>
                </c:pt>
                <c:pt idx="6">
                  <c:v>0.7</c:v>
                </c:pt>
                <c:pt idx="8">
                  <c:v>0.76</c:v>
                </c:pt>
                <c:pt idx="9">
                  <c:v>1.1000000000000001</c:v>
                </c:pt>
                <c:pt idx="11">
                  <c:v>0.9</c:v>
                </c:pt>
                <c:pt idx="14">
                  <c:v>0.14000000000000001</c:v>
                </c:pt>
                <c:pt idx="16">
                  <c:v>0.36</c:v>
                </c:pt>
                <c:pt idx="17">
                  <c:v>0.9</c:v>
                </c:pt>
                <c:pt idx="18">
                  <c:v>1.07</c:v>
                </c:pt>
                <c:pt idx="21">
                  <c:v>1.27</c:v>
                </c:pt>
                <c:pt idx="24">
                  <c:v>0.2</c:v>
                </c:pt>
                <c:pt idx="25">
                  <c:v>0.5</c:v>
                </c:pt>
                <c:pt idx="26">
                  <c:v>0.72</c:v>
                </c:pt>
                <c:pt idx="29">
                  <c:v>0.2</c:v>
                </c:pt>
                <c:pt idx="43">
                  <c:v>0.24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18-4ED5-A140-4074DE5BB05D}"/>
            </c:ext>
          </c:extLst>
        </c:ser>
        <c:ser>
          <c:idx val="1"/>
          <c:order val="1"/>
          <c:tx>
            <c:strRef>
              <c:f>T2_tmp!$Y$64</c:f>
              <c:strCache>
                <c:ptCount val="1"/>
                <c:pt idx="0">
                  <c:v>F4 Depth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T2_tmp!$W$65:$W$111</c:f>
              <c:numCache>
                <c:formatCode>General</c:formatCode>
                <c:ptCount val="47"/>
                <c:pt idx="0">
                  <c:v>4</c:v>
                </c:pt>
                <c:pt idx="1">
                  <c:v>4.666666666666667</c:v>
                </c:pt>
                <c:pt idx="2">
                  <c:v>4.75</c:v>
                </c:pt>
                <c:pt idx="3">
                  <c:v>5.166666666666667</c:v>
                </c:pt>
                <c:pt idx="4">
                  <c:v>5.416666666666667</c:v>
                </c:pt>
                <c:pt idx="5">
                  <c:v>5.583333333333333</c:v>
                </c:pt>
                <c:pt idx="6">
                  <c:v>6.083333333333333</c:v>
                </c:pt>
                <c:pt idx="7">
                  <c:v>6.666666666666667</c:v>
                </c:pt>
                <c:pt idx="8">
                  <c:v>6.75</c:v>
                </c:pt>
                <c:pt idx="9">
                  <c:v>8.4166666666666661</c:v>
                </c:pt>
                <c:pt idx="10">
                  <c:v>8.6666666666666661</c:v>
                </c:pt>
                <c:pt idx="11">
                  <c:v>9.5</c:v>
                </c:pt>
                <c:pt idx="12">
                  <c:v>9.6666666666666661</c:v>
                </c:pt>
                <c:pt idx="13">
                  <c:v>11.083333333333334</c:v>
                </c:pt>
                <c:pt idx="14">
                  <c:v>11.166666666666666</c:v>
                </c:pt>
                <c:pt idx="15">
                  <c:v>12</c:v>
                </c:pt>
                <c:pt idx="16">
                  <c:v>12.166666666666666</c:v>
                </c:pt>
                <c:pt idx="17">
                  <c:v>12.25</c:v>
                </c:pt>
                <c:pt idx="18">
                  <c:v>13.083333333333334</c:v>
                </c:pt>
                <c:pt idx="19">
                  <c:v>13.166666666666666</c:v>
                </c:pt>
                <c:pt idx="20">
                  <c:v>13.666666666666666</c:v>
                </c:pt>
                <c:pt idx="21">
                  <c:v>13.833333333333334</c:v>
                </c:pt>
                <c:pt idx="22">
                  <c:v>18.75</c:v>
                </c:pt>
                <c:pt idx="23">
                  <c:v>20.166666666666668</c:v>
                </c:pt>
                <c:pt idx="24">
                  <c:v>20.25</c:v>
                </c:pt>
                <c:pt idx="25">
                  <c:v>20.416666666666668</c:v>
                </c:pt>
                <c:pt idx="26">
                  <c:v>21.416666666666668</c:v>
                </c:pt>
                <c:pt idx="27">
                  <c:v>21.5</c:v>
                </c:pt>
                <c:pt idx="28">
                  <c:v>22.25</c:v>
                </c:pt>
                <c:pt idx="29">
                  <c:v>22.833333333333332</c:v>
                </c:pt>
                <c:pt idx="30">
                  <c:v>24.416666666666668</c:v>
                </c:pt>
                <c:pt idx="31">
                  <c:v>24.666666666666668</c:v>
                </c:pt>
                <c:pt idx="32">
                  <c:v>24.666666666666668</c:v>
                </c:pt>
                <c:pt idx="33">
                  <c:v>25.25</c:v>
                </c:pt>
                <c:pt idx="34">
                  <c:v>26</c:v>
                </c:pt>
                <c:pt idx="35">
                  <c:v>27.333333333333332</c:v>
                </c:pt>
                <c:pt idx="36">
                  <c:v>27.416666666666668</c:v>
                </c:pt>
                <c:pt idx="37">
                  <c:v>27.75</c:v>
                </c:pt>
                <c:pt idx="38">
                  <c:v>28.25</c:v>
                </c:pt>
                <c:pt idx="39">
                  <c:v>29</c:v>
                </c:pt>
                <c:pt idx="40">
                  <c:v>29.583333333333332</c:v>
                </c:pt>
                <c:pt idx="41">
                  <c:v>30.083333333333332</c:v>
                </c:pt>
                <c:pt idx="42">
                  <c:v>30.166666666666668</c:v>
                </c:pt>
                <c:pt idx="43">
                  <c:v>30.333333333333332</c:v>
                </c:pt>
                <c:pt idx="44">
                  <c:v>30.583333333333332</c:v>
                </c:pt>
                <c:pt idx="45">
                  <c:v>30.666666666666668</c:v>
                </c:pt>
                <c:pt idx="46">
                  <c:v>30.833333333333332</c:v>
                </c:pt>
              </c:numCache>
            </c:numRef>
          </c:xVal>
          <c:yVal>
            <c:numRef>
              <c:f>T2_tmp!$Y$65:$Y$111</c:f>
              <c:numCache>
                <c:formatCode>General</c:formatCode>
                <c:ptCount val="47"/>
                <c:pt idx="2">
                  <c:v>0.2</c:v>
                </c:pt>
                <c:pt idx="4">
                  <c:v>0.86</c:v>
                </c:pt>
                <c:pt idx="7">
                  <c:v>0.82</c:v>
                </c:pt>
                <c:pt idx="10">
                  <c:v>1.35</c:v>
                </c:pt>
                <c:pt idx="13">
                  <c:v>0.3</c:v>
                </c:pt>
                <c:pt idx="19">
                  <c:v>0.8</c:v>
                </c:pt>
                <c:pt idx="27">
                  <c:v>0.7</c:v>
                </c:pt>
                <c:pt idx="42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18-4ED5-A140-4074DE5BB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850024"/>
        <c:axId val="631853304"/>
      </c:scatterChart>
      <c:valAx>
        <c:axId val="631850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853304"/>
        <c:crosses val="autoZero"/>
        <c:crossBetween val="midCat"/>
      </c:valAx>
      <c:valAx>
        <c:axId val="63185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850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47</xdr:row>
      <xdr:rowOff>6350</xdr:rowOff>
    </xdr:from>
    <xdr:to>
      <xdr:col>40</xdr:col>
      <xdr:colOff>19050</xdr:colOff>
      <xdr:row>87</xdr:row>
      <xdr:rowOff>6350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74985A7-CE8B-4DE2-A88D-5DEAE361F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25400</xdr:colOff>
      <xdr:row>87</xdr:row>
      <xdr:rowOff>155574</xdr:rowOff>
    </xdr:from>
    <xdr:to>
      <xdr:col>39</xdr:col>
      <xdr:colOff>590550</xdr:colOff>
      <xdr:row>121</xdr:row>
      <xdr:rowOff>12699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18DDEB8-7DB6-43A4-A809-33FF9C7C5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57</xdr:row>
      <xdr:rowOff>0</xdr:rowOff>
    </xdr:from>
    <xdr:to>
      <xdr:col>32</xdr:col>
      <xdr:colOff>604520</xdr:colOff>
      <xdr:row>86</xdr:row>
      <xdr:rowOff>157480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C47B61A-83BE-4285-8250-C70C25C7F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89</xdr:row>
      <xdr:rowOff>0</xdr:rowOff>
    </xdr:from>
    <xdr:to>
      <xdr:col>32</xdr:col>
      <xdr:colOff>594360</xdr:colOff>
      <xdr:row>121</xdr:row>
      <xdr:rowOff>45720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BFDDED-1965-4BA2-A560-C9A1869CA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574040</xdr:colOff>
      <xdr:row>61</xdr:row>
      <xdr:rowOff>106680</xdr:rowOff>
    </xdr:from>
    <xdr:to>
      <xdr:col>40</xdr:col>
      <xdr:colOff>538480</xdr:colOff>
      <xdr:row>102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E7773D-F2E6-4C9C-A615-F7D9849DD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20320</xdr:colOff>
      <xdr:row>104</xdr:row>
      <xdr:rowOff>0</xdr:rowOff>
    </xdr:from>
    <xdr:to>
      <xdr:col>33</xdr:col>
      <xdr:colOff>5080</xdr:colOff>
      <xdr:row>135</xdr:row>
      <xdr:rowOff>172720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9777D62-C65B-41C8-9532-248F700AF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48</xdr:row>
      <xdr:rowOff>160020</xdr:rowOff>
    </xdr:from>
    <xdr:to>
      <xdr:col>36</xdr:col>
      <xdr:colOff>40640</xdr:colOff>
      <xdr:row>83</xdr:row>
      <xdr:rowOff>157480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050E8F-46BF-48B0-8DD8-42B3D32C3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85</xdr:row>
      <xdr:rowOff>0</xdr:rowOff>
    </xdr:from>
    <xdr:to>
      <xdr:col>35</xdr:col>
      <xdr:colOff>594360</xdr:colOff>
      <xdr:row>114</xdr:row>
      <xdr:rowOff>5080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85B7F8B-FAEA-4576-A84B-34CD8CAC6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6350</xdr:colOff>
      <xdr:row>62</xdr:row>
      <xdr:rowOff>9525</xdr:rowOff>
    </xdr:from>
    <xdr:to>
      <xdr:col>42</xdr:col>
      <xdr:colOff>6350</xdr:colOff>
      <xdr:row>108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989838-BBFF-45EB-8778-BCAABAA83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109</xdr:row>
      <xdr:rowOff>53974</xdr:rowOff>
    </xdr:from>
    <xdr:to>
      <xdr:col>42</xdr:col>
      <xdr:colOff>6350</xdr:colOff>
      <xdr:row>130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56C01D-257B-47D4-82A4-650BAD9FD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7" sqref="A27:F31"/>
    </sheetView>
  </sheetViews>
  <sheetFormatPr defaultColWidth="28.7265625" defaultRowHeight="40.5" customHeight="1" x14ac:dyDescent="0.7"/>
  <cols>
    <col min="1" max="2" width="8.7265625" style="8" customWidth="1"/>
    <col min="3" max="3" width="16.7265625" style="5" customWidth="1"/>
    <col min="4" max="4" width="18.7265625" style="7" customWidth="1"/>
    <col min="5" max="5" width="18.7265625" style="2" customWidth="1"/>
    <col min="6" max="6" width="28.7265625" style="8" customWidth="1"/>
    <col min="7" max="16384" width="28.7265625" style="8"/>
  </cols>
  <sheetData>
    <row r="1" spans="1:6" ht="40.5" customHeight="1" x14ac:dyDescent="0.7">
      <c r="A1" s="1" t="s">
        <v>1</v>
      </c>
      <c r="C1" s="33" t="s">
        <v>14</v>
      </c>
      <c r="D1" s="33"/>
      <c r="E1" s="8">
        <v>3</v>
      </c>
      <c r="F1" s="3" t="s">
        <v>18</v>
      </c>
    </row>
    <row r="2" spans="1:6" ht="40.5" customHeight="1" x14ac:dyDescent="0.7">
      <c r="A2" s="3" t="s">
        <v>8</v>
      </c>
      <c r="B2" s="3" t="s">
        <v>9</v>
      </c>
      <c r="C2" s="6" t="s">
        <v>13</v>
      </c>
      <c r="D2" s="6" t="s">
        <v>29</v>
      </c>
      <c r="E2" s="3" t="s">
        <v>7</v>
      </c>
      <c r="F2" s="8" t="s">
        <v>3</v>
      </c>
    </row>
    <row r="3" spans="1:6" ht="40.5" customHeight="1" x14ac:dyDescent="0.7">
      <c r="A3" s="8">
        <v>4</v>
      </c>
      <c r="B3" s="8">
        <v>8</v>
      </c>
      <c r="C3" s="5">
        <f>A3+(B3/12)</f>
        <v>4.666666666666667</v>
      </c>
      <c r="D3" s="5"/>
      <c r="E3" s="5"/>
      <c r="F3" s="4" t="s">
        <v>12</v>
      </c>
    </row>
    <row r="4" spans="1:6" ht="40.5" customHeight="1" x14ac:dyDescent="0.7">
      <c r="A4" s="8">
        <v>4</v>
      </c>
      <c r="B4" s="8">
        <v>2</v>
      </c>
      <c r="C4" s="5">
        <f>A4+(B4/12)</f>
        <v>4.166666666666667</v>
      </c>
      <c r="D4" s="5">
        <v>0.2</v>
      </c>
      <c r="E4" s="5"/>
      <c r="F4" s="4" t="s">
        <v>11</v>
      </c>
    </row>
    <row r="5" spans="1:6" ht="40.5" customHeight="1" x14ac:dyDescent="0.7">
      <c r="A5" s="8">
        <v>5</v>
      </c>
      <c r="B5" s="8">
        <v>7</v>
      </c>
      <c r="C5" s="5">
        <f>A5+(B5/12)</f>
        <v>5.583333333333333</v>
      </c>
      <c r="D5" s="5">
        <v>0.7</v>
      </c>
      <c r="E5" s="5"/>
      <c r="F5" s="4" t="s">
        <v>30</v>
      </c>
    </row>
    <row r="6" spans="1:6" ht="40.5" customHeight="1" x14ac:dyDescent="0.7">
      <c r="A6" s="8">
        <v>6</v>
      </c>
      <c r="B6" s="8">
        <v>1</v>
      </c>
      <c r="C6" s="5">
        <f>A6+(B6/12)</f>
        <v>6.083333333333333</v>
      </c>
      <c r="D6" s="5">
        <v>0.7</v>
      </c>
      <c r="E6" s="5">
        <v>0.85</v>
      </c>
      <c r="F6" s="4"/>
    </row>
    <row r="7" spans="1:6" ht="40.5" customHeight="1" x14ac:dyDescent="0.7">
      <c r="A7" s="8">
        <v>6</v>
      </c>
      <c r="B7" s="8">
        <v>9</v>
      </c>
      <c r="C7" s="5">
        <f>A7+(B7/12)</f>
        <v>6.75</v>
      </c>
      <c r="D7" s="5">
        <v>0.76</v>
      </c>
      <c r="E7" s="5"/>
      <c r="F7" s="4" t="s">
        <v>20</v>
      </c>
    </row>
    <row r="8" spans="1:6" ht="40.5" customHeight="1" x14ac:dyDescent="0.7">
      <c r="A8" s="8">
        <v>8</v>
      </c>
      <c r="B8" s="8">
        <v>5</v>
      </c>
      <c r="C8" s="5">
        <f t="shared" ref="C8:C13" si="0">A8+(B8/12)</f>
        <v>8.4166666666666661</v>
      </c>
      <c r="D8" s="5">
        <v>1.1000000000000001</v>
      </c>
      <c r="E8" s="5">
        <v>1.97</v>
      </c>
      <c r="F8" s="4"/>
    </row>
    <row r="9" spans="1:6" ht="40.5" customHeight="1" x14ac:dyDescent="0.7">
      <c r="A9" s="8">
        <v>9</v>
      </c>
      <c r="B9" s="8">
        <v>6</v>
      </c>
      <c r="C9" s="5">
        <f t="shared" si="0"/>
        <v>9.5</v>
      </c>
      <c r="D9" s="5">
        <v>0.9</v>
      </c>
      <c r="E9" s="5"/>
      <c r="F9" s="4" t="s">
        <v>20</v>
      </c>
    </row>
    <row r="10" spans="1:6" ht="40.5" customHeight="1" x14ac:dyDescent="0.7">
      <c r="A10" s="8">
        <v>11</v>
      </c>
      <c r="B10" s="8">
        <v>2</v>
      </c>
      <c r="C10" s="5">
        <f t="shared" si="0"/>
        <v>11.166666666666666</v>
      </c>
      <c r="D10" s="5">
        <v>0.14000000000000001</v>
      </c>
      <c r="E10" s="5">
        <v>0.69</v>
      </c>
      <c r="F10" s="4"/>
    </row>
    <row r="11" spans="1:6" ht="40.5" customHeight="1" x14ac:dyDescent="0.7">
      <c r="A11" s="8">
        <v>12</v>
      </c>
      <c r="B11" s="8">
        <v>2</v>
      </c>
      <c r="C11" s="5">
        <f t="shared" si="0"/>
        <v>12.166666666666666</v>
      </c>
      <c r="D11" s="5">
        <v>0.36</v>
      </c>
      <c r="E11" s="5"/>
      <c r="F11" s="4" t="s">
        <v>32</v>
      </c>
    </row>
    <row r="12" spans="1:6" ht="40.5" customHeight="1" x14ac:dyDescent="0.7">
      <c r="A12" s="8">
        <v>12</v>
      </c>
      <c r="B12" s="8">
        <v>3</v>
      </c>
      <c r="C12" s="5">
        <f t="shared" si="0"/>
        <v>12.25</v>
      </c>
      <c r="D12" s="5">
        <v>0.9</v>
      </c>
      <c r="E12" s="5"/>
      <c r="F12" s="4" t="s">
        <v>31</v>
      </c>
    </row>
    <row r="13" spans="1:6" ht="40.5" customHeight="1" x14ac:dyDescent="0.7">
      <c r="A13" s="8">
        <v>13</v>
      </c>
      <c r="B13" s="8">
        <v>1</v>
      </c>
      <c r="C13" s="5">
        <f t="shared" si="0"/>
        <v>13.083333333333334</v>
      </c>
      <c r="D13" s="5">
        <v>1.07</v>
      </c>
      <c r="E13" s="5">
        <v>1.34</v>
      </c>
      <c r="F13" s="4"/>
    </row>
    <row r="14" spans="1:6" ht="40.5" customHeight="1" x14ac:dyDescent="0.7">
      <c r="A14" s="8">
        <v>13</v>
      </c>
      <c r="B14" s="8">
        <v>10</v>
      </c>
      <c r="C14" s="5">
        <f>A14+(B14/12)</f>
        <v>13.833333333333334</v>
      </c>
      <c r="D14" s="5">
        <v>1.27</v>
      </c>
      <c r="E14" s="5"/>
      <c r="F14" s="4" t="s">
        <v>20</v>
      </c>
    </row>
    <row r="15" spans="1:6" ht="40.5" customHeight="1" x14ac:dyDescent="0.7">
      <c r="A15" s="8">
        <v>18</v>
      </c>
      <c r="B15" s="8">
        <v>9</v>
      </c>
      <c r="C15" s="5">
        <f t="shared" ref="C15:C18" si="1">A15+(B15/12)</f>
        <v>18.75</v>
      </c>
      <c r="D15" s="5">
        <v>0</v>
      </c>
      <c r="E15" s="5"/>
      <c r="F15" s="4" t="s">
        <v>33</v>
      </c>
    </row>
    <row r="16" spans="1:6" ht="40.5" customHeight="1" x14ac:dyDescent="0.7">
      <c r="A16" s="8">
        <v>20</v>
      </c>
      <c r="B16" s="8">
        <v>3</v>
      </c>
      <c r="C16" s="5">
        <f t="shared" si="1"/>
        <v>20.25</v>
      </c>
      <c r="D16" s="5">
        <v>0.2</v>
      </c>
      <c r="E16" s="5">
        <v>0</v>
      </c>
      <c r="F16" s="4" t="s">
        <v>34</v>
      </c>
    </row>
    <row r="17" spans="1:6" ht="40.5" customHeight="1" x14ac:dyDescent="0.7">
      <c r="A17" s="8">
        <v>20</v>
      </c>
      <c r="B17" s="8">
        <v>5</v>
      </c>
      <c r="C17" s="5">
        <f t="shared" si="1"/>
        <v>20.416666666666668</v>
      </c>
      <c r="D17" s="5">
        <v>0.5</v>
      </c>
      <c r="E17" s="5"/>
      <c r="F17" s="4" t="s">
        <v>33</v>
      </c>
    </row>
    <row r="18" spans="1:6" ht="40.5" customHeight="1" x14ac:dyDescent="0.7">
      <c r="A18" s="8">
        <v>21</v>
      </c>
      <c r="B18" s="8">
        <v>5</v>
      </c>
      <c r="C18" s="5">
        <f t="shared" si="1"/>
        <v>21.416666666666668</v>
      </c>
      <c r="D18" s="5">
        <v>0.72</v>
      </c>
      <c r="E18" s="5">
        <v>1.1499999999999999</v>
      </c>
      <c r="F18" s="4"/>
    </row>
    <row r="19" spans="1:6" ht="40.5" customHeight="1" x14ac:dyDescent="0.7">
      <c r="A19" s="8">
        <v>22</v>
      </c>
      <c r="B19" s="8">
        <v>10</v>
      </c>
      <c r="C19" s="5">
        <f>A19+(B19/12)</f>
        <v>22.833333333333332</v>
      </c>
      <c r="D19" s="5">
        <v>0.2</v>
      </c>
      <c r="E19" s="5"/>
      <c r="F19" s="4" t="s">
        <v>20</v>
      </c>
    </row>
    <row r="20" spans="1:6" ht="40.5" customHeight="1" x14ac:dyDescent="0.7">
      <c r="A20" s="8">
        <v>24</v>
      </c>
      <c r="B20" s="8">
        <v>8</v>
      </c>
      <c r="C20" s="5">
        <f t="shared" ref="C20:C25" si="2">A20+(B20/12)</f>
        <v>24.666666666666668</v>
      </c>
      <c r="D20" s="5"/>
      <c r="E20" s="5"/>
      <c r="F20" s="4" t="s">
        <v>35</v>
      </c>
    </row>
    <row r="21" spans="1:6" ht="40.5" customHeight="1" x14ac:dyDescent="0.7">
      <c r="A21" s="8">
        <v>24</v>
      </c>
      <c r="B21" s="8">
        <v>8</v>
      </c>
      <c r="C21" s="5">
        <f t="shared" si="2"/>
        <v>24.666666666666668</v>
      </c>
      <c r="D21" s="5"/>
      <c r="E21" s="5"/>
      <c r="F21" s="4" t="s">
        <v>20</v>
      </c>
    </row>
    <row r="22" spans="1:6" ht="40.5" customHeight="1" x14ac:dyDescent="0.7">
      <c r="A22" s="8">
        <v>27</v>
      </c>
      <c r="B22" s="8">
        <v>5</v>
      </c>
      <c r="C22" s="5">
        <f t="shared" si="2"/>
        <v>27.416666666666668</v>
      </c>
      <c r="D22" s="5">
        <v>1.3</v>
      </c>
      <c r="E22" s="5">
        <v>1.27</v>
      </c>
      <c r="F22" s="4"/>
    </row>
    <row r="23" spans="1:6" ht="40.5" customHeight="1" x14ac:dyDescent="0.7">
      <c r="A23" s="8">
        <v>29</v>
      </c>
      <c r="B23" s="8">
        <v>0</v>
      </c>
      <c r="C23" s="5">
        <f t="shared" si="2"/>
        <v>29</v>
      </c>
      <c r="D23" s="5">
        <v>1.3</v>
      </c>
      <c r="E23" s="5"/>
      <c r="F23" s="4" t="s">
        <v>20</v>
      </c>
    </row>
    <row r="24" spans="1:6" ht="40.5" customHeight="1" x14ac:dyDescent="0.7">
      <c r="A24" s="8">
        <v>30</v>
      </c>
      <c r="B24" s="8">
        <v>1</v>
      </c>
      <c r="C24" s="5">
        <f t="shared" si="2"/>
        <v>30.083333333333332</v>
      </c>
      <c r="D24" s="5">
        <v>0</v>
      </c>
      <c r="E24" s="5"/>
      <c r="F24" s="4"/>
    </row>
    <row r="25" spans="1:6" ht="40.5" customHeight="1" x14ac:dyDescent="0.7">
      <c r="A25" s="8">
        <v>30</v>
      </c>
      <c r="B25" s="8">
        <v>4</v>
      </c>
      <c r="C25" s="5">
        <f t="shared" si="2"/>
        <v>30.333333333333332</v>
      </c>
      <c r="D25" s="5">
        <v>0.24</v>
      </c>
      <c r="E25" s="5">
        <v>0.26</v>
      </c>
      <c r="F25" s="4"/>
    </row>
    <row r="26" spans="1:6" ht="40.5" customHeight="1" x14ac:dyDescent="0.7">
      <c r="A26" s="8">
        <v>30</v>
      </c>
      <c r="B26" s="8">
        <v>8</v>
      </c>
      <c r="C26" s="5">
        <f>A26+(B26/12)</f>
        <v>30.666666666666668</v>
      </c>
      <c r="D26" s="5">
        <v>0</v>
      </c>
      <c r="E26" s="5"/>
      <c r="F26" s="4" t="s">
        <v>20</v>
      </c>
    </row>
    <row r="27" spans="1:6" ht="40.5" customHeight="1" x14ac:dyDescent="0.7">
      <c r="D27" s="5"/>
      <c r="E27" s="5"/>
      <c r="F27" s="4"/>
    </row>
    <row r="28" spans="1:6" ht="40.5" customHeight="1" x14ac:dyDescent="0.7">
      <c r="D28" s="5"/>
      <c r="E28" s="5"/>
      <c r="F28" s="4"/>
    </row>
    <row r="29" spans="1:6" ht="40.5" customHeight="1" x14ac:dyDescent="0.7">
      <c r="D29" s="5"/>
      <c r="E29" s="5"/>
      <c r="F29" s="4"/>
    </row>
    <row r="30" spans="1:6" ht="40.5" customHeight="1" x14ac:dyDescent="0.7">
      <c r="D30" s="5"/>
      <c r="E30" s="5"/>
      <c r="F30" s="4"/>
    </row>
    <row r="31" spans="1:6" ht="40.5" customHeight="1" x14ac:dyDescent="0.7">
      <c r="D31" s="5"/>
      <c r="E31" s="5"/>
      <c r="F31" s="4"/>
    </row>
    <row r="32" spans="1:6" ht="40.5" customHeight="1" x14ac:dyDescent="0.7">
      <c r="E32" s="7"/>
      <c r="F32" s="4"/>
    </row>
    <row r="33" spans="1:6" ht="40.5" customHeight="1" x14ac:dyDescent="0.7">
      <c r="F33" s="4"/>
    </row>
    <row r="34" spans="1:6" ht="40.5" customHeight="1" x14ac:dyDescent="0.7">
      <c r="F34" s="4"/>
    </row>
    <row r="35" spans="1:6" ht="40.5" customHeight="1" x14ac:dyDescent="0.7">
      <c r="F35" s="4"/>
    </row>
    <row r="36" spans="1:6" ht="40.5" customHeight="1" x14ac:dyDescent="0.7">
      <c r="F36" s="4"/>
    </row>
    <row r="37" spans="1:6" ht="40.5" customHeight="1" x14ac:dyDescent="0.7">
      <c r="F37" s="4"/>
    </row>
    <row r="38" spans="1:6" ht="40.5" customHeight="1" x14ac:dyDescent="0.7">
      <c r="F38" s="4"/>
    </row>
    <row r="39" spans="1:6" ht="40.5" customHeight="1" x14ac:dyDescent="0.7">
      <c r="F39" s="4"/>
    </row>
    <row r="40" spans="1:6" ht="40.5" customHeight="1" x14ac:dyDescent="0.7">
      <c r="F40" s="4"/>
    </row>
    <row r="41" spans="1:6" ht="40.5" customHeight="1" x14ac:dyDescent="0.7">
      <c r="F41" s="4"/>
    </row>
    <row r="42" spans="1:6" ht="40.5" customHeight="1" x14ac:dyDescent="0.7">
      <c r="A42" s="8" t="s">
        <v>0</v>
      </c>
      <c r="F42" s="4"/>
    </row>
  </sheetData>
  <mergeCells count="1">
    <mergeCell ref="C1:D1"/>
  </mergeCells>
  <printOptions horizontalCentered="1" gridLines="1"/>
  <pageMargins left="0.2" right="0.2" top="0.5" bottom="0.5" header="0.3" footer="0.3"/>
  <pageSetup scale="78" fitToHeight="0" orientation="portrait" r:id="rId1"/>
  <headerFooter>
    <oddHeader>&amp;L&amp;A&amp;R&amp;D &amp;T</oddHeader>
    <oddFooter>&amp;LPage &amp;P of &amp;N&amp;R&amp;Z&amp;F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34"/>
  <sheetViews>
    <sheetView workbookViewId="0">
      <selection activeCell="F40" sqref="F40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3</v>
      </c>
      <c r="F1" s="21" t="s">
        <v>18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4</v>
      </c>
      <c r="B3" s="21">
        <v>8</v>
      </c>
      <c r="C3" s="21">
        <f>A3+(B3/12)</f>
        <v>4.666666666666667</v>
      </c>
      <c r="F3" s="21" t="s">
        <v>12</v>
      </c>
    </row>
    <row r="4" spans="1:6" ht="14.5" customHeight="1" x14ac:dyDescent="0.35">
      <c r="A4" s="21">
        <v>4</v>
      </c>
      <c r="B4" s="21">
        <v>2</v>
      </c>
      <c r="C4" s="21">
        <f>A4+(B4/12)</f>
        <v>4.166666666666667</v>
      </c>
      <c r="D4" s="21">
        <v>0.2</v>
      </c>
      <c r="F4" s="21" t="s">
        <v>11</v>
      </c>
    </row>
    <row r="5" spans="1:6" ht="14.5" customHeight="1" x14ac:dyDescent="0.35">
      <c r="A5" s="21">
        <v>5</v>
      </c>
      <c r="B5" s="21">
        <v>7</v>
      </c>
      <c r="C5" s="21">
        <f>A5+(B5/12)</f>
        <v>5.583333333333333</v>
      </c>
      <c r="D5" s="21">
        <v>0.7</v>
      </c>
      <c r="F5" s="21" t="s">
        <v>30</v>
      </c>
    </row>
    <row r="6" spans="1:6" ht="14.5" customHeight="1" x14ac:dyDescent="0.35">
      <c r="A6" s="21">
        <v>6</v>
      </c>
      <c r="B6" s="21">
        <v>1</v>
      </c>
      <c r="C6" s="21">
        <f>A6+(B6/12)</f>
        <v>6.083333333333333</v>
      </c>
      <c r="D6" s="21">
        <v>0.7</v>
      </c>
      <c r="E6" s="21">
        <v>0.85</v>
      </c>
    </row>
    <row r="7" spans="1:6" ht="14.5" customHeight="1" x14ac:dyDescent="0.35">
      <c r="A7" s="21">
        <v>6</v>
      </c>
      <c r="B7" s="21">
        <v>9</v>
      </c>
      <c r="C7" s="21">
        <f>A7+(B7/12)</f>
        <v>6.75</v>
      </c>
      <c r="D7" s="21">
        <v>0.76</v>
      </c>
      <c r="F7" s="21" t="s">
        <v>20</v>
      </c>
    </row>
    <row r="8" spans="1:6" ht="14.5" customHeight="1" x14ac:dyDescent="0.35">
      <c r="A8" s="21">
        <v>8</v>
      </c>
      <c r="B8" s="21">
        <v>5</v>
      </c>
      <c r="C8" s="21">
        <f t="shared" ref="C8:C13" si="0">A8+(B8/12)</f>
        <v>8.4166666666666661</v>
      </c>
      <c r="D8" s="21">
        <v>1.1000000000000001</v>
      </c>
      <c r="E8" s="21">
        <v>1.97</v>
      </c>
    </row>
    <row r="9" spans="1:6" ht="14.5" customHeight="1" x14ac:dyDescent="0.35">
      <c r="A9" s="21">
        <v>9</v>
      </c>
      <c r="B9" s="21">
        <v>6</v>
      </c>
      <c r="C9" s="21">
        <f t="shared" si="0"/>
        <v>9.5</v>
      </c>
      <c r="D9" s="21">
        <v>0.9</v>
      </c>
      <c r="F9" s="21" t="s">
        <v>20</v>
      </c>
    </row>
    <row r="10" spans="1:6" ht="14.5" customHeight="1" x14ac:dyDescent="0.35">
      <c r="A10" s="21">
        <v>11</v>
      </c>
      <c r="B10" s="21">
        <v>2</v>
      </c>
      <c r="C10" s="21">
        <f t="shared" si="0"/>
        <v>11.166666666666666</v>
      </c>
      <c r="D10" s="21">
        <v>0.14000000000000001</v>
      </c>
      <c r="E10" s="21">
        <v>0.69</v>
      </c>
    </row>
    <row r="11" spans="1:6" ht="14.5" customHeight="1" x14ac:dyDescent="0.35">
      <c r="A11" s="21">
        <v>12</v>
      </c>
      <c r="B11" s="21">
        <v>2</v>
      </c>
      <c r="C11" s="21">
        <f t="shared" si="0"/>
        <v>12.166666666666666</v>
      </c>
      <c r="D11" s="21">
        <v>0.36</v>
      </c>
      <c r="F11" s="21" t="s">
        <v>32</v>
      </c>
    </row>
    <row r="12" spans="1:6" ht="14.5" customHeight="1" x14ac:dyDescent="0.35">
      <c r="A12" s="21">
        <v>12</v>
      </c>
      <c r="B12" s="21">
        <v>3</v>
      </c>
      <c r="C12" s="21">
        <f t="shared" si="0"/>
        <v>12.25</v>
      </c>
      <c r="D12" s="21">
        <v>0.9</v>
      </c>
      <c r="F12" s="21" t="s">
        <v>31</v>
      </c>
    </row>
    <row r="13" spans="1:6" ht="14.5" customHeight="1" x14ac:dyDescent="0.35">
      <c r="A13" s="21">
        <v>13</v>
      </c>
      <c r="B13" s="21">
        <v>1</v>
      </c>
      <c r="C13" s="21">
        <f t="shared" si="0"/>
        <v>13.083333333333334</v>
      </c>
      <c r="D13" s="21">
        <v>1.07</v>
      </c>
      <c r="E13" s="21">
        <v>1.34</v>
      </c>
    </row>
    <row r="14" spans="1:6" ht="14.5" customHeight="1" x14ac:dyDescent="0.35">
      <c r="A14" s="21">
        <v>13</v>
      </c>
      <c r="B14" s="21">
        <v>10</v>
      </c>
      <c r="C14" s="21">
        <f>A14+(B14/12)</f>
        <v>13.833333333333334</v>
      </c>
      <c r="D14" s="21">
        <v>1.27</v>
      </c>
      <c r="F14" s="21" t="s">
        <v>20</v>
      </c>
    </row>
    <row r="15" spans="1:6" ht="14.5" customHeight="1" x14ac:dyDescent="0.35">
      <c r="A15" s="21">
        <v>18</v>
      </c>
      <c r="B15" s="21">
        <v>9</v>
      </c>
      <c r="C15" s="21">
        <f t="shared" ref="C15:C18" si="1">A15+(B15/12)</f>
        <v>18.75</v>
      </c>
      <c r="D15" s="21">
        <v>0</v>
      </c>
      <c r="F15" s="21" t="s">
        <v>33</v>
      </c>
    </row>
    <row r="16" spans="1:6" ht="14.5" customHeight="1" x14ac:dyDescent="0.35">
      <c r="A16" s="21">
        <v>20</v>
      </c>
      <c r="B16" s="21">
        <v>3</v>
      </c>
      <c r="C16" s="21">
        <f t="shared" si="1"/>
        <v>20.25</v>
      </c>
      <c r="D16" s="21">
        <v>0.2</v>
      </c>
      <c r="E16" s="21">
        <v>0</v>
      </c>
      <c r="F16" s="21" t="s">
        <v>34</v>
      </c>
    </row>
    <row r="17" spans="1:6" ht="14.5" customHeight="1" x14ac:dyDescent="0.35">
      <c r="A17" s="21">
        <v>20</v>
      </c>
      <c r="B17" s="21">
        <v>5</v>
      </c>
      <c r="C17" s="21">
        <f t="shared" si="1"/>
        <v>20.416666666666668</v>
      </c>
      <c r="D17" s="21">
        <v>0.5</v>
      </c>
      <c r="F17" s="21" t="s">
        <v>33</v>
      </c>
    </row>
    <row r="18" spans="1:6" ht="14.5" customHeight="1" x14ac:dyDescent="0.35">
      <c r="A18" s="21">
        <v>21</v>
      </c>
      <c r="B18" s="21">
        <v>5</v>
      </c>
      <c r="C18" s="21">
        <f t="shared" si="1"/>
        <v>21.416666666666668</v>
      </c>
      <c r="D18" s="21">
        <v>0.72</v>
      </c>
      <c r="E18" s="21">
        <v>1.1499999999999999</v>
      </c>
    </row>
    <row r="19" spans="1:6" ht="14.5" customHeight="1" x14ac:dyDescent="0.35">
      <c r="A19" s="21">
        <v>22</v>
      </c>
      <c r="B19" s="21">
        <v>10</v>
      </c>
      <c r="C19" s="21">
        <f>A19+(B19/12)</f>
        <v>22.833333333333332</v>
      </c>
      <c r="D19" s="21">
        <v>0.2</v>
      </c>
      <c r="F19" s="21" t="s">
        <v>20</v>
      </c>
    </row>
    <row r="20" spans="1:6" ht="14.5" customHeight="1" x14ac:dyDescent="0.35">
      <c r="A20" s="21">
        <v>24</v>
      </c>
      <c r="B20" s="21">
        <v>8</v>
      </c>
      <c r="C20" s="21">
        <f t="shared" ref="C20:C24" si="2">A20+(B20/12)</f>
        <v>24.666666666666668</v>
      </c>
      <c r="F20" s="21" t="s">
        <v>35</v>
      </c>
    </row>
    <row r="21" spans="1:6" ht="14.5" customHeight="1" x14ac:dyDescent="0.35">
      <c r="A21" s="21">
        <v>24</v>
      </c>
      <c r="B21" s="21">
        <v>8</v>
      </c>
      <c r="C21" s="21">
        <f t="shared" si="2"/>
        <v>24.666666666666668</v>
      </c>
      <c r="F21" s="21" t="s">
        <v>20</v>
      </c>
    </row>
    <row r="22" spans="1:6" ht="14.5" customHeight="1" x14ac:dyDescent="0.35">
      <c r="A22" s="21">
        <v>27</v>
      </c>
      <c r="B22" s="21">
        <v>5</v>
      </c>
      <c r="C22" s="21">
        <f t="shared" si="2"/>
        <v>27.416666666666668</v>
      </c>
      <c r="D22" s="21">
        <v>1.3</v>
      </c>
      <c r="E22" s="21">
        <v>1.27</v>
      </c>
    </row>
    <row r="23" spans="1:6" ht="14.5" customHeight="1" x14ac:dyDescent="0.35">
      <c r="A23" s="21">
        <v>29</v>
      </c>
      <c r="B23" s="21">
        <v>0</v>
      </c>
      <c r="C23" s="21">
        <f t="shared" si="2"/>
        <v>29</v>
      </c>
      <c r="D23" s="21">
        <v>1.3</v>
      </c>
      <c r="F23" s="21" t="s">
        <v>20</v>
      </c>
    </row>
    <row r="24" spans="1:6" ht="14.5" customHeight="1" x14ac:dyDescent="0.35">
      <c r="A24" s="21">
        <v>30</v>
      </c>
      <c r="B24" s="21">
        <v>1</v>
      </c>
      <c r="C24" s="21">
        <f t="shared" si="2"/>
        <v>30.083333333333332</v>
      </c>
      <c r="D24" s="21">
        <v>0</v>
      </c>
    </row>
    <row r="25" spans="1:6" ht="14.5" customHeight="1" x14ac:dyDescent="0.35">
      <c r="A25" s="21">
        <v>30</v>
      </c>
      <c r="B25" s="21">
        <v>4</v>
      </c>
      <c r="C25" s="21">
        <f t="shared" ref="C25" si="3">A25+(B25/12)</f>
        <v>30.333333333333332</v>
      </c>
      <c r="D25" s="21">
        <v>0.24</v>
      </c>
      <c r="E25" s="21">
        <v>0.26</v>
      </c>
    </row>
    <row r="26" spans="1:6" ht="14.5" customHeight="1" x14ac:dyDescent="0.35">
      <c r="A26" s="21">
        <v>30</v>
      </c>
      <c r="B26" s="21">
        <v>8</v>
      </c>
      <c r="C26" s="21">
        <f>A26+(B26/12)</f>
        <v>30.666666666666668</v>
      </c>
      <c r="D26" s="21">
        <v>0</v>
      </c>
      <c r="F26" s="21" t="s">
        <v>20</v>
      </c>
    </row>
    <row r="34" spans="1:1" ht="14.5" customHeight="1" x14ac:dyDescent="0.35">
      <c r="A34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3"/>
  <sheetViews>
    <sheetView workbookViewId="0">
      <selection activeCell="F4" sqref="F4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4</v>
      </c>
      <c r="F1" s="21" t="s">
        <v>24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4</v>
      </c>
      <c r="B3" s="21">
        <v>0</v>
      </c>
      <c r="C3" s="21">
        <f>A3+(B3/12)</f>
        <v>4</v>
      </c>
      <c r="F3" s="21" t="s">
        <v>12</v>
      </c>
    </row>
    <row r="4" spans="1:6" ht="14.5" customHeight="1" x14ac:dyDescent="0.35">
      <c r="A4" s="21">
        <v>4</v>
      </c>
      <c r="B4" s="21">
        <v>9</v>
      </c>
      <c r="C4" s="21">
        <f>A4+(B4/12)</f>
        <v>4.75</v>
      </c>
      <c r="D4" s="21">
        <v>0.2</v>
      </c>
      <c r="E4" s="21">
        <v>0.03</v>
      </c>
    </row>
    <row r="5" spans="1:6" ht="14.5" customHeight="1" x14ac:dyDescent="0.35">
      <c r="A5" s="21">
        <v>5</v>
      </c>
      <c r="B5" s="21">
        <v>5</v>
      </c>
      <c r="C5" s="21">
        <f>A5+(B5/12)</f>
        <v>5.416666666666667</v>
      </c>
      <c r="D5" s="21">
        <v>0.86</v>
      </c>
      <c r="E5" s="21">
        <v>0.46</v>
      </c>
      <c r="F5" s="21" t="s">
        <v>121</v>
      </c>
    </row>
    <row r="6" spans="1:6" ht="14.5" customHeight="1" x14ac:dyDescent="0.35">
      <c r="A6" s="21">
        <v>6</v>
      </c>
      <c r="B6" s="21">
        <v>8</v>
      </c>
      <c r="C6" s="21">
        <f>A6+(B6/12)</f>
        <v>6.666666666666667</v>
      </c>
      <c r="D6" s="21">
        <v>0.82</v>
      </c>
      <c r="E6" s="21">
        <v>1.18</v>
      </c>
    </row>
    <row r="7" spans="1:6" ht="14.5" customHeight="1" x14ac:dyDescent="0.35">
      <c r="A7" s="21">
        <v>8</v>
      </c>
      <c r="B7" s="21">
        <v>8</v>
      </c>
      <c r="C7" s="21">
        <f>A7+(B7/12)</f>
        <v>8.6666666666666661</v>
      </c>
      <c r="D7" s="21">
        <v>1.35</v>
      </c>
      <c r="E7" s="21">
        <v>2.21</v>
      </c>
    </row>
    <row r="8" spans="1:6" ht="14.5" customHeight="1" x14ac:dyDescent="0.35">
      <c r="A8" s="21">
        <v>9</v>
      </c>
      <c r="B8" s="21">
        <v>8</v>
      </c>
      <c r="C8" s="21">
        <f t="shared" ref="C8" si="0">A8+(B8/12)</f>
        <v>9.6666666666666661</v>
      </c>
      <c r="F8" s="21" t="s">
        <v>122</v>
      </c>
    </row>
    <row r="9" spans="1:6" ht="14.5" customHeight="1" x14ac:dyDescent="0.35">
      <c r="A9" s="21">
        <v>11</v>
      </c>
      <c r="B9" s="21">
        <v>1</v>
      </c>
      <c r="C9" s="21">
        <f t="shared" ref="C9:C24" si="1">A9+(B9/12)</f>
        <v>11.083333333333334</v>
      </c>
      <c r="D9" s="21">
        <v>0.3</v>
      </c>
      <c r="E9" s="21">
        <v>1.8</v>
      </c>
    </row>
    <row r="10" spans="1:6" ht="14.5" customHeight="1" x14ac:dyDescent="0.35">
      <c r="A10" s="21">
        <v>12</v>
      </c>
      <c r="B10" s="21">
        <v>0</v>
      </c>
      <c r="C10" s="21">
        <f t="shared" si="1"/>
        <v>12</v>
      </c>
      <c r="F10" s="21" t="s">
        <v>122</v>
      </c>
    </row>
    <row r="11" spans="1:6" ht="14.5" customHeight="1" x14ac:dyDescent="0.35">
      <c r="A11" s="21">
        <v>13</v>
      </c>
      <c r="B11" s="21">
        <v>2</v>
      </c>
      <c r="C11" s="21">
        <f t="shared" si="1"/>
        <v>13.166666666666666</v>
      </c>
      <c r="D11" s="21">
        <v>0.8</v>
      </c>
      <c r="E11" s="21">
        <v>2.59</v>
      </c>
    </row>
    <row r="12" spans="1:6" ht="14.5" customHeight="1" x14ac:dyDescent="0.35">
      <c r="A12" s="21">
        <v>13</v>
      </c>
      <c r="B12" s="21">
        <v>8</v>
      </c>
      <c r="C12" s="21">
        <f t="shared" si="1"/>
        <v>13.666666666666666</v>
      </c>
      <c r="F12" s="21" t="s">
        <v>123</v>
      </c>
    </row>
    <row r="13" spans="1:6" ht="14.5" customHeight="1" x14ac:dyDescent="0.35">
      <c r="A13" s="21">
        <v>20</v>
      </c>
      <c r="B13" s="21">
        <v>2</v>
      </c>
      <c r="C13" s="21">
        <f t="shared" si="1"/>
        <v>20.166666666666668</v>
      </c>
      <c r="F13" s="21" t="s">
        <v>121</v>
      </c>
    </row>
    <row r="14" spans="1:6" ht="14.5" customHeight="1" x14ac:dyDescent="0.35">
      <c r="A14" s="21">
        <v>21</v>
      </c>
      <c r="B14" s="21">
        <v>6</v>
      </c>
      <c r="C14" s="21">
        <f t="shared" si="1"/>
        <v>21.5</v>
      </c>
      <c r="D14" s="21">
        <v>0.7</v>
      </c>
      <c r="E14" s="21">
        <v>2.83</v>
      </c>
    </row>
    <row r="15" spans="1:6" ht="14.5" customHeight="1" x14ac:dyDescent="0.35">
      <c r="A15" s="21">
        <v>22</v>
      </c>
      <c r="B15" s="21">
        <v>3</v>
      </c>
      <c r="C15" s="21">
        <f t="shared" si="1"/>
        <v>22.25</v>
      </c>
      <c r="F15" s="21" t="s">
        <v>123</v>
      </c>
    </row>
    <row r="16" spans="1:6" ht="14.5" customHeight="1" x14ac:dyDescent="0.35">
      <c r="A16" s="21">
        <v>24</v>
      </c>
      <c r="B16" s="21">
        <v>5</v>
      </c>
      <c r="C16" s="21">
        <f t="shared" si="1"/>
        <v>24.416666666666668</v>
      </c>
      <c r="F16" s="21" t="s">
        <v>121</v>
      </c>
    </row>
    <row r="17" spans="1:6" ht="14.5" customHeight="1" x14ac:dyDescent="0.35">
      <c r="A17" s="21">
        <v>25</v>
      </c>
      <c r="B17" s="21">
        <v>3</v>
      </c>
      <c r="C17" s="21">
        <f t="shared" si="1"/>
        <v>25.25</v>
      </c>
      <c r="D17" s="21">
        <v>1</v>
      </c>
      <c r="E17" s="21">
        <v>1.0900000000000001</v>
      </c>
    </row>
    <row r="18" spans="1:6" ht="14.5" customHeight="1" x14ac:dyDescent="0.35">
      <c r="A18" s="21">
        <v>26</v>
      </c>
      <c r="B18" s="21">
        <v>0</v>
      </c>
      <c r="C18" s="21">
        <f t="shared" si="1"/>
        <v>26</v>
      </c>
      <c r="F18" s="21" t="s">
        <v>123</v>
      </c>
    </row>
    <row r="19" spans="1:6" ht="14.5" customHeight="1" x14ac:dyDescent="0.35">
      <c r="A19" s="21">
        <v>27</v>
      </c>
      <c r="B19" s="21">
        <v>4</v>
      </c>
      <c r="C19" s="21">
        <f t="shared" si="1"/>
        <v>27.333333333333332</v>
      </c>
      <c r="F19" s="21" t="s">
        <v>121</v>
      </c>
    </row>
    <row r="20" spans="1:6" ht="14.5" customHeight="1" x14ac:dyDescent="0.35">
      <c r="A20" s="21">
        <v>27</v>
      </c>
      <c r="B20" s="21">
        <v>9</v>
      </c>
      <c r="C20" s="21">
        <f t="shared" si="1"/>
        <v>27.75</v>
      </c>
      <c r="D20" s="21">
        <v>1</v>
      </c>
      <c r="E20" s="21">
        <v>0.3</v>
      </c>
    </row>
    <row r="21" spans="1:6" ht="14.5" customHeight="1" x14ac:dyDescent="0.35">
      <c r="A21" s="21">
        <v>28</v>
      </c>
      <c r="B21" s="21">
        <v>3</v>
      </c>
      <c r="C21" s="21">
        <f t="shared" si="1"/>
        <v>28.25</v>
      </c>
      <c r="F21" s="21" t="s">
        <v>123</v>
      </c>
    </row>
    <row r="22" spans="1:6" ht="14.5" customHeight="1" x14ac:dyDescent="0.35">
      <c r="A22" s="21">
        <v>29</v>
      </c>
      <c r="B22" s="21">
        <v>7</v>
      </c>
      <c r="C22" s="21">
        <f t="shared" si="1"/>
        <v>29.583333333333332</v>
      </c>
      <c r="F22" s="21" t="s">
        <v>121</v>
      </c>
    </row>
    <row r="23" spans="1:6" ht="14.5" customHeight="1" x14ac:dyDescent="0.35">
      <c r="A23" s="21">
        <v>30</v>
      </c>
      <c r="B23" s="21">
        <v>2</v>
      </c>
      <c r="C23" s="21">
        <f t="shared" si="1"/>
        <v>30.166666666666668</v>
      </c>
      <c r="D23" s="21">
        <v>0.3</v>
      </c>
      <c r="E23" s="21">
        <v>0.81</v>
      </c>
    </row>
    <row r="24" spans="1:6" ht="14.5" customHeight="1" x14ac:dyDescent="0.35">
      <c r="A24" s="21">
        <v>30</v>
      </c>
      <c r="B24" s="21">
        <v>7</v>
      </c>
      <c r="C24" s="21">
        <f t="shared" si="1"/>
        <v>30.583333333333332</v>
      </c>
      <c r="F24" s="21" t="s">
        <v>123</v>
      </c>
    </row>
    <row r="25" spans="1:6" ht="14.5" customHeight="1" x14ac:dyDescent="0.35">
      <c r="A25" s="21">
        <v>30</v>
      </c>
      <c r="B25" s="21">
        <v>10</v>
      </c>
      <c r="C25" s="21">
        <f>A25+(B25/12)</f>
        <v>30.833333333333332</v>
      </c>
      <c r="F25" s="21" t="s">
        <v>36</v>
      </c>
    </row>
    <row r="43" spans="1:1" ht="14.5" customHeight="1" x14ac:dyDescent="0.35">
      <c r="A43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214"/>
  <sheetViews>
    <sheetView topLeftCell="A40" zoomScale="125" zoomScaleNormal="125" workbookViewId="0">
      <selection activeCell="O71" sqref="O71"/>
    </sheetView>
  </sheetViews>
  <sheetFormatPr defaultColWidth="8.7265625" defaultRowHeight="14.5" customHeight="1" x14ac:dyDescent="0.35"/>
  <cols>
    <col min="1" max="1" width="18.6328125" style="21" customWidth="1"/>
    <col min="2" max="16384" width="8.7265625" style="21"/>
  </cols>
  <sheetData>
    <row r="1" spans="1:40" s="25" customFormat="1" ht="14.5" customHeight="1" x14ac:dyDescent="0.35">
      <c r="A1" s="27"/>
      <c r="B1" s="27" t="s">
        <v>45</v>
      </c>
      <c r="C1" s="27" t="s">
        <v>9</v>
      </c>
      <c r="D1" s="28" t="s">
        <v>46</v>
      </c>
      <c r="E1" s="27" t="s">
        <v>2</v>
      </c>
      <c r="F1" s="27" t="s">
        <v>5</v>
      </c>
      <c r="G1" s="27" t="s">
        <v>47</v>
      </c>
      <c r="H1" s="27" t="s">
        <v>48</v>
      </c>
      <c r="I1" s="27" t="s">
        <v>49</v>
      </c>
      <c r="J1" s="27" t="s">
        <v>50</v>
      </c>
      <c r="K1" s="27" t="s">
        <v>51</v>
      </c>
      <c r="L1" s="27" t="s">
        <v>52</v>
      </c>
      <c r="M1" s="27" t="s">
        <v>53</v>
      </c>
      <c r="N1" s="27" t="s">
        <v>54</v>
      </c>
      <c r="O1" s="27" t="s">
        <v>56</v>
      </c>
      <c r="P1" s="27" t="s">
        <v>61</v>
      </c>
      <c r="Q1" s="29" t="s">
        <v>60</v>
      </c>
      <c r="R1" s="29" t="s">
        <v>66</v>
      </c>
      <c r="S1" s="29" t="s">
        <v>64</v>
      </c>
      <c r="T1" s="29" t="s">
        <v>65</v>
      </c>
      <c r="U1" s="29" t="s">
        <v>113</v>
      </c>
      <c r="V1" s="29" t="s">
        <v>73</v>
      </c>
      <c r="W1" s="29" t="s">
        <v>74</v>
      </c>
      <c r="X1" s="29" t="s">
        <v>75</v>
      </c>
      <c r="Y1" s="29" t="s">
        <v>114</v>
      </c>
      <c r="Z1" s="29" t="s">
        <v>76</v>
      </c>
      <c r="AA1" s="29" t="s">
        <v>77</v>
      </c>
      <c r="AB1" s="29" t="s">
        <v>78</v>
      </c>
      <c r="AC1" s="29" t="s">
        <v>115</v>
      </c>
      <c r="AD1" s="29" t="s">
        <v>79</v>
      </c>
      <c r="AE1" s="29" t="s">
        <v>80</v>
      </c>
      <c r="AF1" s="29" t="s">
        <v>81</v>
      </c>
      <c r="AG1" s="29" t="s">
        <v>116</v>
      </c>
      <c r="AH1" s="29"/>
      <c r="AI1" s="29" t="s">
        <v>93</v>
      </c>
      <c r="AJ1" s="29" t="s">
        <v>60</v>
      </c>
      <c r="AK1" s="29" t="s">
        <v>89</v>
      </c>
      <c r="AL1" s="29" t="s">
        <v>90</v>
      </c>
      <c r="AM1" s="29" t="s">
        <v>91</v>
      </c>
      <c r="AN1" s="29" t="s">
        <v>92</v>
      </c>
    </row>
    <row r="2" spans="1:40" s="25" customFormat="1" ht="14.5" customHeight="1" x14ac:dyDescent="0.35">
      <c r="A2" s="29" t="s">
        <v>62</v>
      </c>
      <c r="B2" s="29">
        <v>9</v>
      </c>
      <c r="C2" s="29">
        <v>0</v>
      </c>
      <c r="D2" s="29">
        <f>B2+(C2/12)</f>
        <v>9</v>
      </c>
      <c r="E2" s="29">
        <v>4.67</v>
      </c>
      <c r="F2" s="30"/>
      <c r="G2" s="30"/>
      <c r="H2" s="30"/>
      <c r="I2" s="30"/>
      <c r="J2" s="30"/>
      <c r="K2" s="30"/>
      <c r="L2" s="30">
        <v>1</v>
      </c>
      <c r="M2" s="30"/>
      <c r="N2" s="30"/>
      <c r="O2" s="30">
        <f>SUM(F2:N2)</f>
        <v>1</v>
      </c>
      <c r="P2" s="25">
        <f>D2</f>
        <v>9</v>
      </c>
      <c r="Q2" s="25">
        <f>$B$64-E2</f>
        <v>125.91797377631654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I2" s="25">
        <f>P2</f>
        <v>9</v>
      </c>
      <c r="AJ2" s="25">
        <f>Q2</f>
        <v>125.91797377631654</v>
      </c>
    </row>
    <row r="3" spans="1:40" s="25" customFormat="1" ht="14.5" customHeight="1" x14ac:dyDescent="0.35">
      <c r="A3" s="29" t="s">
        <v>67</v>
      </c>
      <c r="B3" s="29">
        <v>10</v>
      </c>
      <c r="C3" s="29">
        <v>2</v>
      </c>
      <c r="D3" s="29">
        <f t="shared" ref="D3:D60" si="0">B3+(C3/12)</f>
        <v>10.166666666666666</v>
      </c>
      <c r="E3" s="29">
        <v>4.6399999999999997</v>
      </c>
      <c r="F3" s="30"/>
      <c r="G3" s="30"/>
      <c r="H3" s="30"/>
      <c r="I3" s="30"/>
      <c r="J3" s="30"/>
      <c r="K3" s="30"/>
      <c r="L3" s="30"/>
      <c r="M3" s="30">
        <v>1</v>
      </c>
      <c r="N3" s="30"/>
      <c r="O3" s="30">
        <f t="shared" ref="O3:O8" si="1">SUM(F3:N3)</f>
        <v>1</v>
      </c>
      <c r="P3" s="25">
        <f t="shared" ref="P3:P8" si="2">D3</f>
        <v>10.166666666666666</v>
      </c>
      <c r="Q3" s="25">
        <f t="shared" ref="Q3:Q8" si="3">$B$64-E3</f>
        <v>125.94797377631654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I3" s="25">
        <f t="shared" ref="AI3:AI60" si="4">P3</f>
        <v>10.166666666666666</v>
      </c>
      <c r="AJ3" s="25">
        <f t="shared" ref="AJ3:AJ60" si="5">Q3</f>
        <v>125.94797377631654</v>
      </c>
    </row>
    <row r="4" spans="1:40" s="25" customFormat="1" ht="14.5" customHeight="1" x14ac:dyDescent="0.35">
      <c r="A4" s="29" t="s">
        <v>67</v>
      </c>
      <c r="B4" s="29">
        <v>10</v>
      </c>
      <c r="C4" s="29">
        <v>8</v>
      </c>
      <c r="D4" s="29">
        <f t="shared" si="0"/>
        <v>10.666666666666666</v>
      </c>
      <c r="E4" s="29">
        <v>4.34</v>
      </c>
      <c r="F4" s="30"/>
      <c r="G4" s="30"/>
      <c r="H4" s="30"/>
      <c r="I4" s="30"/>
      <c r="J4" s="30"/>
      <c r="K4" s="30"/>
      <c r="L4" s="30"/>
      <c r="M4" s="30">
        <v>1</v>
      </c>
      <c r="N4" s="30"/>
      <c r="O4" s="30">
        <f t="shared" si="1"/>
        <v>1</v>
      </c>
      <c r="P4" s="25">
        <f t="shared" si="2"/>
        <v>10.666666666666666</v>
      </c>
      <c r="Q4" s="25">
        <f t="shared" si="3"/>
        <v>126.24797377631654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I4" s="25">
        <f t="shared" si="4"/>
        <v>10.666666666666666</v>
      </c>
      <c r="AJ4" s="25">
        <f t="shared" si="5"/>
        <v>126.24797377631654</v>
      </c>
    </row>
    <row r="5" spans="1:40" s="25" customFormat="1" ht="14.5" customHeight="1" x14ac:dyDescent="0.35">
      <c r="A5" s="29" t="s">
        <v>67</v>
      </c>
      <c r="B5" s="29">
        <v>11</v>
      </c>
      <c r="C5" s="29">
        <v>4</v>
      </c>
      <c r="D5" s="29">
        <f t="shared" si="0"/>
        <v>11.333333333333334</v>
      </c>
      <c r="E5" s="29">
        <v>5</v>
      </c>
      <c r="F5" s="30"/>
      <c r="G5" s="30"/>
      <c r="H5" s="30"/>
      <c r="I5" s="30"/>
      <c r="J5" s="30"/>
      <c r="K5" s="30"/>
      <c r="L5" s="30"/>
      <c r="M5" s="30">
        <v>1</v>
      </c>
      <c r="N5" s="30"/>
      <c r="O5" s="30">
        <f t="shared" si="1"/>
        <v>1</v>
      </c>
      <c r="P5" s="25">
        <f t="shared" si="2"/>
        <v>11.333333333333334</v>
      </c>
      <c r="Q5" s="25">
        <f t="shared" si="3"/>
        <v>125.58797377631655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I5" s="25">
        <f t="shared" si="4"/>
        <v>11.333333333333334</v>
      </c>
      <c r="AJ5" s="25">
        <f t="shared" si="5"/>
        <v>125.58797377631655</v>
      </c>
    </row>
    <row r="6" spans="1:40" s="25" customFormat="1" ht="14.5" customHeight="1" x14ac:dyDescent="0.35">
      <c r="A6" s="29" t="s">
        <v>67</v>
      </c>
      <c r="B6" s="29">
        <v>13</v>
      </c>
      <c r="C6" s="29">
        <v>4</v>
      </c>
      <c r="D6" s="29">
        <f t="shared" si="0"/>
        <v>13.333333333333334</v>
      </c>
      <c r="E6" s="29">
        <v>5.19</v>
      </c>
      <c r="F6" s="30"/>
      <c r="G6" s="30"/>
      <c r="H6" s="30"/>
      <c r="I6" s="30"/>
      <c r="J6" s="30"/>
      <c r="K6" s="30"/>
      <c r="L6" s="30"/>
      <c r="M6" s="30">
        <v>1</v>
      </c>
      <c r="N6" s="30"/>
      <c r="O6" s="30">
        <f t="shared" si="1"/>
        <v>1</v>
      </c>
      <c r="P6" s="25">
        <f t="shared" si="2"/>
        <v>13.333333333333334</v>
      </c>
      <c r="Q6" s="25">
        <f t="shared" si="3"/>
        <v>125.39797377631655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I6" s="25">
        <f t="shared" si="4"/>
        <v>13.333333333333334</v>
      </c>
      <c r="AJ6" s="25">
        <f t="shared" si="5"/>
        <v>125.39797377631655</v>
      </c>
    </row>
    <row r="7" spans="1:40" s="25" customFormat="1" ht="14.5" customHeight="1" x14ac:dyDescent="0.35">
      <c r="A7" s="29" t="s">
        <v>67</v>
      </c>
      <c r="B7" s="29">
        <v>14</v>
      </c>
      <c r="C7" s="29">
        <v>5</v>
      </c>
      <c r="D7" s="29">
        <f t="shared" si="0"/>
        <v>14.416666666666666</v>
      </c>
      <c r="E7" s="29">
        <v>4.6100000000000003</v>
      </c>
      <c r="F7" s="30"/>
      <c r="G7" s="30"/>
      <c r="H7" s="30"/>
      <c r="I7" s="30"/>
      <c r="J7" s="30"/>
      <c r="K7" s="30"/>
      <c r="L7" s="30"/>
      <c r="M7" s="30">
        <v>1</v>
      </c>
      <c r="N7" s="30"/>
      <c r="O7" s="30">
        <f t="shared" si="1"/>
        <v>1</v>
      </c>
      <c r="P7" s="25">
        <f t="shared" si="2"/>
        <v>14.416666666666666</v>
      </c>
      <c r="Q7" s="25">
        <f t="shared" si="3"/>
        <v>125.97797377631655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G7" s="12"/>
      <c r="AI7" s="25">
        <f t="shared" si="4"/>
        <v>14.416666666666666</v>
      </c>
      <c r="AJ7" s="25">
        <f t="shared" si="5"/>
        <v>125.97797377631655</v>
      </c>
    </row>
    <row r="8" spans="1:40" s="25" customFormat="1" ht="14.5" customHeight="1" x14ac:dyDescent="0.35">
      <c r="A8" s="29" t="s">
        <v>148</v>
      </c>
      <c r="B8" s="29">
        <v>15</v>
      </c>
      <c r="C8" s="29">
        <v>10</v>
      </c>
      <c r="D8" s="29">
        <f t="shared" si="0"/>
        <v>15.833333333333334</v>
      </c>
      <c r="E8" s="29">
        <v>5.51</v>
      </c>
      <c r="F8" s="30"/>
      <c r="G8" s="30"/>
      <c r="H8" s="30"/>
      <c r="I8" s="30"/>
      <c r="J8" s="30"/>
      <c r="K8" s="30"/>
      <c r="L8" s="30">
        <v>1</v>
      </c>
      <c r="M8" s="30"/>
      <c r="N8" s="30"/>
      <c r="O8" s="30">
        <f t="shared" si="1"/>
        <v>1</v>
      </c>
      <c r="P8" s="25">
        <f t="shared" si="2"/>
        <v>15.833333333333334</v>
      </c>
      <c r="Q8" s="25">
        <f t="shared" si="3"/>
        <v>125.07797377631654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>
        <v>125.46258916093193</v>
      </c>
      <c r="AC8" s="12"/>
      <c r="AD8" s="29"/>
      <c r="AE8" s="29"/>
      <c r="AF8" s="25">
        <v>124.88997377631655</v>
      </c>
      <c r="AG8" s="12">
        <f>(T3F4_Flat_Level-$Q8)*(($P9-$P7)/2)</f>
        <v>-0.24702049835610415</v>
      </c>
      <c r="AI8" s="25">
        <f t="shared" si="4"/>
        <v>15.833333333333334</v>
      </c>
      <c r="AJ8" s="25">
        <f t="shared" si="5"/>
        <v>125.07797377631654</v>
      </c>
      <c r="AN8" s="25">
        <f>T3F4_Flat_Level</f>
        <v>124.8584</v>
      </c>
    </row>
    <row r="9" spans="1:40" s="25" customFormat="1" ht="14.5" customHeight="1" x14ac:dyDescent="0.35">
      <c r="A9" s="29" t="s">
        <v>83</v>
      </c>
      <c r="B9" s="29">
        <v>16</v>
      </c>
      <c r="C9" s="29">
        <v>8</v>
      </c>
      <c r="D9" s="29">
        <f t="shared" si="0"/>
        <v>16.666666666666668</v>
      </c>
      <c r="E9" s="29"/>
      <c r="F9" s="31"/>
      <c r="G9" s="31"/>
      <c r="H9" s="31"/>
      <c r="I9" s="31"/>
      <c r="J9" s="31"/>
      <c r="K9" s="31"/>
      <c r="L9" s="31"/>
      <c r="M9" s="31"/>
      <c r="N9" s="31"/>
      <c r="O9" s="31"/>
      <c r="P9" s="25">
        <f>D9</f>
        <v>16.666666666666668</v>
      </c>
      <c r="Q9" s="12">
        <f>Q8+((Q10-Q8)*(($D9-$D8)/($D10-$D8)))</f>
        <v>124.96258916093193</v>
      </c>
      <c r="R9" s="29"/>
      <c r="S9" s="29"/>
      <c r="T9" s="29"/>
      <c r="U9" s="29"/>
      <c r="V9" s="29"/>
      <c r="W9" s="29"/>
      <c r="X9" s="29"/>
      <c r="Y9" s="29"/>
      <c r="Z9" s="29">
        <v>0.5</v>
      </c>
      <c r="AA9" s="29">
        <v>0</v>
      </c>
      <c r="AB9" s="29">
        <f>$Q9+Z9</f>
        <v>125.46258916093193</v>
      </c>
      <c r="AC9" s="12"/>
      <c r="AD9" s="29"/>
      <c r="AE9" s="29"/>
      <c r="AF9" s="25">
        <v>124.88997377631655</v>
      </c>
      <c r="AG9" s="12">
        <f>(T3F4_Flat_Level-$Q9)*(($P10-$P8)/2)</f>
        <v>-5.6435795504792011E-2</v>
      </c>
      <c r="AI9" s="25">
        <f t="shared" si="4"/>
        <v>16.666666666666668</v>
      </c>
      <c r="AJ9" s="25">
        <f t="shared" si="5"/>
        <v>124.96258916093193</v>
      </c>
      <c r="AN9" s="25">
        <f>T3F4_Flat_Level</f>
        <v>124.8584</v>
      </c>
    </row>
    <row r="10" spans="1:40" s="25" customFormat="1" ht="14.5" customHeight="1" x14ac:dyDescent="0.35">
      <c r="A10" s="29" t="s">
        <v>67</v>
      </c>
      <c r="B10" s="29">
        <v>16</v>
      </c>
      <c r="C10" s="29">
        <v>11</v>
      </c>
      <c r="D10" s="29">
        <f t="shared" si="0"/>
        <v>16.916666666666668</v>
      </c>
      <c r="E10" s="29">
        <v>5.66</v>
      </c>
      <c r="F10" s="30"/>
      <c r="G10" s="30"/>
      <c r="H10" s="30"/>
      <c r="I10" s="30"/>
      <c r="J10" s="30"/>
      <c r="K10" s="30"/>
      <c r="L10" s="30"/>
      <c r="M10" s="30">
        <v>1</v>
      </c>
      <c r="N10" s="30"/>
      <c r="O10" s="30">
        <f t="shared" ref="O10:O11" si="6">SUM(F10:N10)</f>
        <v>1</v>
      </c>
      <c r="P10" s="25">
        <f>D10</f>
        <v>16.916666666666668</v>
      </c>
      <c r="Q10" s="25">
        <f t="shared" ref="Q10:Q11" si="7">$B$64-E10</f>
        <v>124.92797377631655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12"/>
      <c r="AC10" s="12"/>
      <c r="AD10" s="29"/>
      <c r="AE10" s="29"/>
      <c r="AG10" s="12"/>
      <c r="AI10" s="25">
        <f t="shared" si="4"/>
        <v>16.916666666666668</v>
      </c>
      <c r="AJ10" s="25">
        <f t="shared" si="5"/>
        <v>124.92797377631655</v>
      </c>
    </row>
    <row r="11" spans="1:40" s="25" customFormat="1" ht="14.5" customHeight="1" x14ac:dyDescent="0.35">
      <c r="A11" s="29" t="s">
        <v>67</v>
      </c>
      <c r="B11" s="29">
        <v>17</v>
      </c>
      <c r="C11" s="29">
        <v>9</v>
      </c>
      <c r="D11" s="29">
        <f t="shared" si="0"/>
        <v>17.75</v>
      </c>
      <c r="E11" s="29">
        <v>5.12</v>
      </c>
      <c r="F11" s="30"/>
      <c r="G11" s="30"/>
      <c r="H11" s="30"/>
      <c r="I11" s="30"/>
      <c r="J11" s="30"/>
      <c r="K11" s="30"/>
      <c r="L11" s="30"/>
      <c r="M11" s="30">
        <v>1</v>
      </c>
      <c r="N11" s="30"/>
      <c r="O11" s="30">
        <f t="shared" si="6"/>
        <v>1</v>
      </c>
      <c r="P11" s="25">
        <f>D11</f>
        <v>17.75</v>
      </c>
      <c r="Q11" s="25">
        <f t="shared" si="7"/>
        <v>125.46797377631654</v>
      </c>
      <c r="R11" s="29"/>
      <c r="S11" s="29"/>
      <c r="T11" s="29"/>
      <c r="U11" s="12"/>
      <c r="V11" s="29"/>
      <c r="W11" s="29"/>
      <c r="X11" s="29"/>
      <c r="Y11" s="29"/>
      <c r="Z11" s="29"/>
      <c r="AA11" s="29"/>
      <c r="AB11" s="12">
        <f>AB9+((AB14-AB9)*(($D11-$D9)/($D14-$D9)))</f>
        <v>125.32904849107547</v>
      </c>
      <c r="AC11" s="12"/>
      <c r="AD11" s="29"/>
      <c r="AE11" s="29"/>
      <c r="AF11" s="25">
        <v>124.88997377631655</v>
      </c>
      <c r="AG11" s="12">
        <f t="shared" ref="AG11:AG21" si="8">(T3F4_Flat_Level-$Q11)*(($P12-$P10)/2)</f>
        <v>-0.66037159100958143</v>
      </c>
      <c r="AI11" s="25">
        <f t="shared" si="4"/>
        <v>17.75</v>
      </c>
      <c r="AJ11" s="25">
        <f t="shared" si="5"/>
        <v>125.46797377631654</v>
      </c>
    </row>
    <row r="12" spans="1:40" s="25" customFormat="1" ht="14.5" customHeight="1" x14ac:dyDescent="0.35">
      <c r="A12" s="29" t="s">
        <v>85</v>
      </c>
      <c r="B12" s="29">
        <v>19</v>
      </c>
      <c r="C12" s="29">
        <v>1</v>
      </c>
      <c r="D12" s="29">
        <f t="shared" si="0"/>
        <v>19.083333333333332</v>
      </c>
      <c r="E12" s="2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5">
        <f>D12</f>
        <v>19.083333333333332</v>
      </c>
      <c r="Q12" s="12">
        <f>Q11+((Q13-Q11)*(($D12-$D11)/($D13-$D11)))</f>
        <v>124.13997377631655</v>
      </c>
      <c r="R12" s="29">
        <v>0.8</v>
      </c>
      <c r="S12" s="29">
        <v>0.11</v>
      </c>
      <c r="T12" s="29">
        <f>$Q12+R12</f>
        <v>124.93997377631655</v>
      </c>
      <c r="U12" s="12">
        <f>(T3F1_Flat_Level-$Q12)*(($P13-$P11)/2)</f>
        <v>7.4188519736206188E-2</v>
      </c>
      <c r="V12" s="29">
        <v>0.78</v>
      </c>
      <c r="W12" s="29">
        <v>0.61</v>
      </c>
      <c r="X12" s="29">
        <f>$Q12+V12</f>
        <v>124.91997377631655</v>
      </c>
      <c r="Y12" s="12">
        <f t="shared" ref="Y12:Y21" si="9">(T3F2_Flat_Level-$Q12)*(($P13-$P11)/2)</f>
        <v>0.32910518640286812</v>
      </c>
      <c r="Z12" s="29"/>
      <c r="AA12" s="29"/>
      <c r="AB12" s="12">
        <f>AB9+((AB14-AB9)*(($D12-$D9)/($D14-$D9)))</f>
        <v>125.16469074355982</v>
      </c>
      <c r="AC12" s="12">
        <f t="shared" ref="AC12:AC21" si="10">(T3F3_Flat_Level-$Q12)*(($P13-$P11)/2)</f>
        <v>0.4124385197362086</v>
      </c>
      <c r="AD12" s="29">
        <v>0.75</v>
      </c>
      <c r="AE12" s="29">
        <v>1.57</v>
      </c>
      <c r="AF12" s="29">
        <f>$Q12+AD12</f>
        <v>124.88997377631655</v>
      </c>
      <c r="AG12" s="12">
        <f t="shared" si="8"/>
        <v>0.59868851973620985</v>
      </c>
      <c r="AI12" s="25">
        <f t="shared" si="4"/>
        <v>19.083333333333332</v>
      </c>
      <c r="AJ12" s="25">
        <f t="shared" si="5"/>
        <v>124.13997377631655</v>
      </c>
      <c r="AK12" s="25">
        <f>T3F1_Flat_Level</f>
        <v>124.229</v>
      </c>
      <c r="AL12" s="25">
        <f t="shared" ref="AL12:AL21" si="11">T3F2_Flat_Level</f>
        <v>124.53489999999999</v>
      </c>
      <c r="AM12" s="25">
        <f t="shared" ref="AM12:AM21" si="12">T3F3_Flat_Level</f>
        <v>124.6349</v>
      </c>
      <c r="AN12" s="25">
        <f t="shared" ref="AN12:AN21" si="13">T3F4_Flat_Level</f>
        <v>124.8584</v>
      </c>
    </row>
    <row r="13" spans="1:40" s="25" customFormat="1" ht="14.5" customHeight="1" x14ac:dyDescent="0.35">
      <c r="A13" s="29" t="s">
        <v>149</v>
      </c>
      <c r="B13" s="29">
        <v>19</v>
      </c>
      <c r="C13" s="29">
        <v>5</v>
      </c>
      <c r="D13" s="29">
        <f t="shared" si="0"/>
        <v>19.416666666666668</v>
      </c>
      <c r="E13" s="29">
        <v>6.78</v>
      </c>
      <c r="F13" s="30"/>
      <c r="G13" s="30"/>
      <c r="H13" s="30"/>
      <c r="I13" s="30"/>
      <c r="J13" s="30"/>
      <c r="K13" s="30">
        <v>1</v>
      </c>
      <c r="L13" s="30"/>
      <c r="M13" s="30"/>
      <c r="N13" s="30"/>
      <c r="O13" s="30">
        <f t="shared" ref="O13" si="14">SUM(F13:N13)</f>
        <v>1</v>
      </c>
      <c r="P13" s="25">
        <f>D13</f>
        <v>19.416666666666668</v>
      </c>
      <c r="Q13" s="25">
        <f>$B$64-E13</f>
        <v>123.80797377631654</v>
      </c>
      <c r="R13" s="29">
        <v>0.65</v>
      </c>
      <c r="S13" s="29">
        <v>0.15</v>
      </c>
      <c r="T13" s="29">
        <f>$Q13+R13</f>
        <v>124.45797377631655</v>
      </c>
      <c r="U13" s="12">
        <f>(T3F1_Flat_Level-$Q13)*(($P14-$P12)/2)</f>
        <v>0.26314138980215951</v>
      </c>
      <c r="V13" s="29">
        <v>0.8</v>
      </c>
      <c r="W13" s="29">
        <v>0.48</v>
      </c>
      <c r="X13" s="29">
        <f>$Q13+V13</f>
        <v>124.60797377631654</v>
      </c>
      <c r="Y13" s="12">
        <f t="shared" si="9"/>
        <v>0.4543288898021558</v>
      </c>
      <c r="Z13" s="29"/>
      <c r="AA13" s="29"/>
      <c r="AB13" s="12">
        <f>AB9+((AB14-AB9)*(($D13-$D9)/($D14-$D9)))</f>
        <v>125.12360130668091</v>
      </c>
      <c r="AC13" s="12">
        <f t="shared" si="10"/>
        <v>0.51682888980216113</v>
      </c>
      <c r="AD13" s="29">
        <v>0.6</v>
      </c>
      <c r="AE13" s="29">
        <v>2.12</v>
      </c>
      <c r="AF13" s="29">
        <f>$Q13+AD13</f>
        <v>124.40797377631654</v>
      </c>
      <c r="AG13" s="12">
        <f t="shared" si="8"/>
        <v>0.65651638980216198</v>
      </c>
      <c r="AI13" s="25">
        <f t="shared" si="4"/>
        <v>19.416666666666668</v>
      </c>
      <c r="AJ13" s="25">
        <f t="shared" si="5"/>
        <v>123.80797377631654</v>
      </c>
      <c r="AK13" s="25">
        <f>T3F1_Flat_Level</f>
        <v>124.229</v>
      </c>
      <c r="AL13" s="25">
        <f t="shared" si="11"/>
        <v>124.53489999999999</v>
      </c>
      <c r="AM13" s="25">
        <f t="shared" si="12"/>
        <v>124.6349</v>
      </c>
      <c r="AN13" s="25">
        <f t="shared" si="13"/>
        <v>124.8584</v>
      </c>
    </row>
    <row r="14" spans="1:40" s="25" customFormat="1" ht="14.5" customHeight="1" x14ac:dyDescent="0.35">
      <c r="A14" s="29" t="s">
        <v>83</v>
      </c>
      <c r="B14" s="29">
        <v>20</v>
      </c>
      <c r="C14" s="29">
        <v>4</v>
      </c>
      <c r="D14" s="29">
        <f t="shared" si="0"/>
        <v>20.333333333333332</v>
      </c>
      <c r="E14" s="2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5">
        <f t="shared" ref="P14:P15" si="15">D14</f>
        <v>20.333333333333332</v>
      </c>
      <c r="Q14" s="12">
        <f>Q13+((Q16-Q13)*(($D14-$D13)/($D16-$D13)))</f>
        <v>124.01060535526391</v>
      </c>
      <c r="R14" s="29"/>
      <c r="S14" s="29"/>
      <c r="T14" s="12">
        <f>T13+((T15-T13)*(($D14-$D13)/($D15-$D13)))</f>
        <v>124.61829766295621</v>
      </c>
      <c r="U14" s="12">
        <f>(T3F1_Flat_Level-$Q14)*(($P15-$P13)/2)</f>
        <v>0.11829709923205069</v>
      </c>
      <c r="V14" s="29"/>
      <c r="W14" s="29"/>
      <c r="X14" s="12">
        <f>X13+((X15-X13)*(($D14-$D13)/($D15-$D13)))</f>
        <v>124.85291304757159</v>
      </c>
      <c r="Y14" s="12">
        <f t="shared" si="9"/>
        <v>0.28399293256538061</v>
      </c>
      <c r="Z14" s="29">
        <v>1</v>
      </c>
      <c r="AA14" s="29">
        <v>2.3199999999999998</v>
      </c>
      <c r="AB14" s="29">
        <f>$Q14+Z14</f>
        <v>125.01060535526391</v>
      </c>
      <c r="AC14" s="12">
        <f t="shared" si="10"/>
        <v>0.33815959923205186</v>
      </c>
      <c r="AD14" s="29"/>
      <c r="AE14" s="29"/>
      <c r="AF14" s="12">
        <f>AF13+((AF15-AF13)*(($D14-$D13)/($D15-$D13)))</f>
        <v>124.6106053552639</v>
      </c>
      <c r="AG14" s="12">
        <f t="shared" si="8"/>
        <v>0.45922209923205248</v>
      </c>
      <c r="AI14" s="25">
        <f t="shared" si="4"/>
        <v>20.333333333333332</v>
      </c>
      <c r="AJ14" s="25">
        <f t="shared" si="5"/>
        <v>124.01060535526391</v>
      </c>
      <c r="AK14" s="25">
        <f>T3F1_Flat_Level</f>
        <v>124.229</v>
      </c>
      <c r="AL14" s="25">
        <f t="shared" si="11"/>
        <v>124.53489999999999</v>
      </c>
      <c r="AM14" s="25">
        <f t="shared" si="12"/>
        <v>124.6349</v>
      </c>
      <c r="AN14" s="25">
        <f t="shared" si="13"/>
        <v>124.8584</v>
      </c>
    </row>
    <row r="15" spans="1:40" s="25" customFormat="1" ht="14.5" customHeight="1" x14ac:dyDescent="0.35">
      <c r="A15" s="29" t="s">
        <v>150</v>
      </c>
      <c r="B15" s="29">
        <v>20</v>
      </c>
      <c r="C15" s="29">
        <v>6</v>
      </c>
      <c r="D15" s="29">
        <f t="shared" si="0"/>
        <v>20.5</v>
      </c>
      <c r="E15" s="2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5">
        <f t="shared" si="15"/>
        <v>20.5</v>
      </c>
      <c r="Q15" s="12">
        <f>Q13+((Q16-Q13)*(($D15-$D13)/($D16-$D13)))</f>
        <v>124.04744746052707</v>
      </c>
      <c r="R15" s="29">
        <v>0.6</v>
      </c>
      <c r="S15" s="29">
        <v>0.15</v>
      </c>
      <c r="T15" s="29">
        <f>$Q15+R15</f>
        <v>124.64744746052706</v>
      </c>
      <c r="U15" s="12">
        <f>(T3F1_Flat_Level-$Q15)*(($P16-$P14)/2)</f>
        <v>6.0517513157644122E-2</v>
      </c>
      <c r="V15" s="29">
        <v>0.85</v>
      </c>
      <c r="W15" s="29">
        <v>1.83</v>
      </c>
      <c r="X15" s="29">
        <f>$Q15+V15</f>
        <v>124.89744746052706</v>
      </c>
      <c r="Y15" s="12">
        <f t="shared" si="9"/>
        <v>0.16248417982430899</v>
      </c>
      <c r="Z15" s="29"/>
      <c r="AA15" s="29"/>
      <c r="AB15" s="12">
        <f>AB14+((AB17-AB14)*(($D15-$D14)/($D17-$D14)))</f>
        <v>125.05034219736918</v>
      </c>
      <c r="AC15" s="12">
        <f t="shared" si="10"/>
        <v>0.19581751315764523</v>
      </c>
      <c r="AD15" s="29">
        <v>0.6</v>
      </c>
      <c r="AE15" s="29">
        <v>2.83</v>
      </c>
      <c r="AF15" s="29">
        <f>$Q15+AD15</f>
        <v>124.64744746052706</v>
      </c>
      <c r="AG15" s="12">
        <f t="shared" si="8"/>
        <v>0.27031751315764579</v>
      </c>
      <c r="AI15" s="25">
        <f t="shared" si="4"/>
        <v>20.5</v>
      </c>
      <c r="AJ15" s="25">
        <f t="shared" si="5"/>
        <v>124.04744746052707</v>
      </c>
      <c r="AK15" s="25">
        <f>T3F1_Flat_Level</f>
        <v>124.229</v>
      </c>
      <c r="AL15" s="25">
        <f t="shared" si="11"/>
        <v>124.53489999999999</v>
      </c>
      <c r="AM15" s="25">
        <f t="shared" si="12"/>
        <v>124.6349</v>
      </c>
      <c r="AN15" s="25">
        <f t="shared" si="13"/>
        <v>124.8584</v>
      </c>
    </row>
    <row r="16" spans="1:40" s="25" customFormat="1" ht="14.5" customHeight="1" x14ac:dyDescent="0.35">
      <c r="A16" s="29" t="s">
        <v>67</v>
      </c>
      <c r="B16" s="29">
        <v>21</v>
      </c>
      <c r="C16" s="29">
        <v>0</v>
      </c>
      <c r="D16" s="29">
        <f t="shared" si="0"/>
        <v>21</v>
      </c>
      <c r="E16" s="29">
        <v>6.43</v>
      </c>
      <c r="F16" s="30"/>
      <c r="G16" s="30"/>
      <c r="H16" s="30"/>
      <c r="I16" s="30"/>
      <c r="J16" s="30"/>
      <c r="K16" s="30"/>
      <c r="L16" s="30"/>
      <c r="M16" s="30">
        <v>1</v>
      </c>
      <c r="N16" s="30"/>
      <c r="O16" s="30">
        <f t="shared" ref="O16:O17" si="16">SUM(F16:N16)</f>
        <v>1</v>
      </c>
      <c r="P16" s="25">
        <f t="shared" ref="P16:P22" si="17">D16</f>
        <v>21</v>
      </c>
      <c r="Q16" s="25">
        <f>$B$64-E16</f>
        <v>124.15797377631654</v>
      </c>
      <c r="R16" s="29"/>
      <c r="S16" s="29"/>
      <c r="T16" s="12">
        <f>T15+((T20-T15)*(($D16-$D15)/($D20-$D15)))</f>
        <v>124.65400094100244</v>
      </c>
      <c r="U16" s="12">
        <f>(T3F1_Flat_Level-$Q16)*(($P17-$P15)/2)</f>
        <v>5.3269667762595674E-2</v>
      </c>
      <c r="V16" s="29"/>
      <c r="W16" s="29"/>
      <c r="X16" s="12">
        <f>X15+((X20-X15)*(($D16-$D15)/($D20-$D15)))</f>
        <v>124.87496868293793</v>
      </c>
      <c r="Y16" s="12">
        <f t="shared" si="9"/>
        <v>0.28269466776259122</v>
      </c>
      <c r="Z16" s="29"/>
      <c r="AA16" s="29"/>
      <c r="AB16" s="12">
        <f>AB14+((AB17-AB14)*(($D16-$D14)/($D17-$D14)))</f>
        <v>125.16955272368496</v>
      </c>
      <c r="AC16" s="12">
        <f t="shared" si="10"/>
        <v>0.35769466776259762</v>
      </c>
      <c r="AD16" s="29"/>
      <c r="AE16" s="29"/>
      <c r="AF16" s="12">
        <f>AF15+((AF20-AF15)*(($D16-$D15)/($D20-$D15)))</f>
        <v>124.78948481197018</v>
      </c>
      <c r="AG16" s="12">
        <f t="shared" si="8"/>
        <v>0.52531966776259864</v>
      </c>
      <c r="AI16" s="25">
        <f t="shared" si="4"/>
        <v>21</v>
      </c>
      <c r="AJ16" s="25">
        <f t="shared" si="5"/>
        <v>124.15797377631654</v>
      </c>
      <c r="AK16" s="25">
        <f>T3F1_Flat_Level</f>
        <v>124.229</v>
      </c>
      <c r="AL16" s="25">
        <f t="shared" si="11"/>
        <v>124.53489999999999</v>
      </c>
      <c r="AM16" s="25">
        <f t="shared" si="12"/>
        <v>124.6349</v>
      </c>
      <c r="AN16" s="25">
        <f t="shared" si="13"/>
        <v>124.8584</v>
      </c>
    </row>
    <row r="17" spans="1:40" s="25" customFormat="1" ht="14.5" customHeight="1" x14ac:dyDescent="0.35">
      <c r="A17" s="29" t="s">
        <v>151</v>
      </c>
      <c r="B17" s="29">
        <v>22</v>
      </c>
      <c r="C17" s="29">
        <v>0</v>
      </c>
      <c r="D17" s="29">
        <f t="shared" si="0"/>
        <v>22</v>
      </c>
      <c r="E17" s="29">
        <v>5.98</v>
      </c>
      <c r="F17" s="30"/>
      <c r="G17" s="30"/>
      <c r="H17" s="30"/>
      <c r="I17" s="30"/>
      <c r="J17" s="30"/>
      <c r="K17" s="30"/>
      <c r="L17" s="30"/>
      <c r="M17" s="30">
        <v>1</v>
      </c>
      <c r="N17" s="30"/>
      <c r="O17" s="30">
        <f t="shared" si="16"/>
        <v>1</v>
      </c>
      <c r="P17" s="25">
        <f t="shared" si="17"/>
        <v>22</v>
      </c>
      <c r="Q17" s="25">
        <f>$B$64-E17</f>
        <v>124.60797377631654</v>
      </c>
      <c r="R17" s="29"/>
      <c r="S17" s="29"/>
      <c r="T17" s="12"/>
      <c r="U17" s="12"/>
      <c r="V17" s="29"/>
      <c r="W17" s="29"/>
      <c r="X17" s="12">
        <f>X15+((X20-X15)*(($D17-$D15)/($D20-$D15)))</f>
        <v>124.83001112775966</v>
      </c>
      <c r="Y17" s="12">
        <f t="shared" si="9"/>
        <v>-7.0029035636691758E-2</v>
      </c>
      <c r="Z17" s="29">
        <v>0.8</v>
      </c>
      <c r="AA17" s="29"/>
      <c r="AB17" s="29">
        <f>$Q17+Z17</f>
        <v>125.40797377631654</v>
      </c>
      <c r="AC17" s="12">
        <f t="shared" si="10"/>
        <v>2.5804297696649804E-2</v>
      </c>
      <c r="AD17" s="29"/>
      <c r="AE17" s="29"/>
      <c r="AF17" s="12">
        <f>AF15+((AF20-AF15)*(($D17-$D15)/($D20-$D15)))</f>
        <v>125.07355951485643</v>
      </c>
      <c r="AG17" s="12">
        <f t="shared" si="8"/>
        <v>0.23999179769665124</v>
      </c>
      <c r="AI17" s="25">
        <f t="shared" si="4"/>
        <v>22</v>
      </c>
      <c r="AJ17" s="25">
        <f t="shared" si="5"/>
        <v>124.60797377631654</v>
      </c>
      <c r="AL17" s="25">
        <f t="shared" si="11"/>
        <v>124.53489999999999</v>
      </c>
      <c r="AM17" s="25">
        <f t="shared" si="12"/>
        <v>124.6349</v>
      </c>
      <c r="AN17" s="25">
        <f t="shared" si="13"/>
        <v>124.8584</v>
      </c>
    </row>
    <row r="18" spans="1:40" s="25" customFormat="1" ht="14.5" customHeight="1" x14ac:dyDescent="0.35">
      <c r="A18" s="29" t="s">
        <v>83</v>
      </c>
      <c r="B18" s="29">
        <v>22</v>
      </c>
      <c r="C18" s="29">
        <v>11</v>
      </c>
      <c r="D18" s="29">
        <f t="shared" si="0"/>
        <v>22.916666666666668</v>
      </c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5">
        <f t="shared" si="17"/>
        <v>22.916666666666668</v>
      </c>
      <c r="Q18" s="12">
        <f>Q17+((Q19-Q17)*(($D18-$D17)/($D19-$D17)))</f>
        <v>124.02130710964987</v>
      </c>
      <c r="R18" s="29"/>
      <c r="S18" s="29"/>
      <c r="T18" s="12">
        <f>T15+((T20-T15)*(($D18-$D15)/($D20-$D15)))</f>
        <v>124.67912261615807</v>
      </c>
      <c r="U18" s="12">
        <f>(T3F1_Flat_Level-$Q18)*(($P19-$P17)/2)</f>
        <v>0.10384644517506558</v>
      </c>
      <c r="V18" s="29"/>
      <c r="W18" s="29"/>
      <c r="X18" s="12">
        <f>X15+((X20-X15)*(($D18-$D15)/($D20-$D15)))</f>
        <v>124.78880003551292</v>
      </c>
      <c r="Y18" s="12">
        <f t="shared" si="9"/>
        <v>0.25679644517506262</v>
      </c>
      <c r="Z18" s="29">
        <v>0.9</v>
      </c>
      <c r="AA18" s="29">
        <v>1.48</v>
      </c>
      <c r="AB18" s="29">
        <f>$Q18+Z18</f>
        <v>124.92130710964987</v>
      </c>
      <c r="AC18" s="12">
        <f t="shared" si="10"/>
        <v>0.30679644517506688</v>
      </c>
      <c r="AD18" s="29"/>
      <c r="AE18" s="29"/>
      <c r="AF18" s="12">
        <f>AF15+((AF20-AF15)*(($D18-$D15)/($D20-$D15)))</f>
        <v>125.33396132583549</v>
      </c>
      <c r="AG18" s="12">
        <f t="shared" si="8"/>
        <v>0.41854644517506756</v>
      </c>
      <c r="AI18" s="25">
        <f t="shared" si="4"/>
        <v>22.916666666666668</v>
      </c>
      <c r="AJ18" s="25">
        <f t="shared" si="5"/>
        <v>124.02130710964987</v>
      </c>
      <c r="AK18" s="25">
        <f>T3F1_Flat_Level</f>
        <v>124.229</v>
      </c>
      <c r="AL18" s="25">
        <f t="shared" si="11"/>
        <v>124.53489999999999</v>
      </c>
      <c r="AM18" s="25">
        <f t="shared" si="12"/>
        <v>124.6349</v>
      </c>
      <c r="AN18" s="25">
        <f t="shared" si="13"/>
        <v>124.8584</v>
      </c>
    </row>
    <row r="19" spans="1:40" s="25" customFormat="1" ht="14.5" customHeight="1" x14ac:dyDescent="0.35">
      <c r="A19" s="29" t="s">
        <v>67</v>
      </c>
      <c r="B19" s="29">
        <v>23</v>
      </c>
      <c r="C19" s="29">
        <v>0</v>
      </c>
      <c r="D19" s="29">
        <f t="shared" si="0"/>
        <v>23</v>
      </c>
      <c r="E19" s="29">
        <v>6.62</v>
      </c>
      <c r="F19" s="30"/>
      <c r="G19" s="30"/>
      <c r="H19" s="30"/>
      <c r="I19" s="30"/>
      <c r="J19" s="30"/>
      <c r="K19" s="30"/>
      <c r="L19" s="30"/>
      <c r="M19" s="30">
        <v>1</v>
      </c>
      <c r="N19" s="30"/>
      <c r="O19" s="30">
        <f t="shared" ref="O19" si="18">SUM(F19:N19)</f>
        <v>1</v>
      </c>
      <c r="P19" s="25">
        <f t="shared" si="17"/>
        <v>23</v>
      </c>
      <c r="Q19" s="25">
        <f>$B$64-E19</f>
        <v>123.96797377631654</v>
      </c>
      <c r="R19" s="29"/>
      <c r="S19" s="29"/>
      <c r="T19" s="12">
        <f>T15+((T20-T15)*(($D19-$D15)/($D20-$D15)))</f>
        <v>124.68021486290397</v>
      </c>
      <c r="U19" s="12">
        <f>(T3F1_Flat_Level-$Q19)*(($P20-$P18)/2)</f>
        <v>2.1752185306954577E-2</v>
      </c>
      <c r="V19" s="29"/>
      <c r="W19" s="29"/>
      <c r="X19" s="12">
        <f>X15+((X20-X15)*(($D19-$D15)/($D20-$D15)))</f>
        <v>124.78505357258139</v>
      </c>
      <c r="Y19" s="12">
        <f t="shared" si="9"/>
        <v>4.7243851973620389E-2</v>
      </c>
      <c r="Z19" s="29"/>
      <c r="AA19" s="29"/>
      <c r="AB19" s="12">
        <f>AB18+((AB21-AB18)*(($D19-$D18)/($D21-$D18)))</f>
        <v>125.02511663345939</v>
      </c>
      <c r="AC19" s="12">
        <f t="shared" si="10"/>
        <v>5.557718530695431E-2</v>
      </c>
      <c r="AD19" s="29"/>
      <c r="AE19" s="29"/>
      <c r="AF19" s="12">
        <f>AF15+((AF20-AF15)*(($D19-$D15)/($D20-$D15)))</f>
        <v>125.35763421774269</v>
      </c>
      <c r="AG19" s="12">
        <f t="shared" si="8"/>
        <v>7.420218530695416E-2</v>
      </c>
      <c r="AI19" s="25">
        <f t="shared" si="4"/>
        <v>23</v>
      </c>
      <c r="AJ19" s="25">
        <f t="shared" si="5"/>
        <v>123.96797377631654</v>
      </c>
      <c r="AK19" s="25">
        <f>T3F1_Flat_Level</f>
        <v>124.229</v>
      </c>
      <c r="AL19" s="25">
        <f t="shared" si="11"/>
        <v>124.53489999999999</v>
      </c>
      <c r="AM19" s="25">
        <f t="shared" si="12"/>
        <v>124.6349</v>
      </c>
      <c r="AN19" s="25">
        <f t="shared" si="13"/>
        <v>124.8584</v>
      </c>
    </row>
    <row r="20" spans="1:40" s="25" customFormat="1" ht="14.5" customHeight="1" x14ac:dyDescent="0.35">
      <c r="A20" s="29" t="s">
        <v>85</v>
      </c>
      <c r="B20" s="29">
        <v>23</v>
      </c>
      <c r="C20" s="29">
        <v>1</v>
      </c>
      <c r="D20" s="29">
        <f t="shared" si="0"/>
        <v>23.083333333333332</v>
      </c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5">
        <f t="shared" si="17"/>
        <v>23.083333333333332</v>
      </c>
      <c r="Q20" s="12">
        <f>Q19+((Q22-Q19)*(($D20-$D19)/($D22-$D19)))</f>
        <v>124.08130710964987</v>
      </c>
      <c r="R20" s="29">
        <v>0.6</v>
      </c>
      <c r="S20" s="29">
        <v>2.84</v>
      </c>
      <c r="T20" s="29">
        <f>$Q20+R20</f>
        <v>124.68130710964986</v>
      </c>
      <c r="U20" s="12">
        <f>(T3F1_Flat_Level-$Q20)*(($P21-$P19)/2)</f>
        <v>3.6923222587532223E-2</v>
      </c>
      <c r="V20" s="29">
        <v>0.7</v>
      </c>
      <c r="W20" s="29">
        <v>1.1499999999999999</v>
      </c>
      <c r="X20" s="29">
        <f>$Q20+V20</f>
        <v>124.78130710964987</v>
      </c>
      <c r="Y20" s="12">
        <f t="shared" si="9"/>
        <v>0.11339822258753074</v>
      </c>
      <c r="Z20" s="29"/>
      <c r="AA20" s="29"/>
      <c r="AB20" s="12">
        <f>AB18+((AB21-AB18)*(($D20-$D18)/($D21-$D18)))</f>
        <v>125.12892615726892</v>
      </c>
      <c r="AC20" s="12">
        <f t="shared" si="10"/>
        <v>0.13839822258753287</v>
      </c>
      <c r="AD20" s="29">
        <v>1.3</v>
      </c>
      <c r="AE20" s="29">
        <v>2.83</v>
      </c>
      <c r="AF20" s="29">
        <f>$Q20+AD20</f>
        <v>125.38130710964987</v>
      </c>
      <c r="AG20" s="12">
        <f t="shared" si="8"/>
        <v>0.19427322258753321</v>
      </c>
      <c r="AI20" s="25">
        <f t="shared" si="4"/>
        <v>23.083333333333332</v>
      </c>
      <c r="AJ20" s="25">
        <f t="shared" si="5"/>
        <v>124.08130710964987</v>
      </c>
      <c r="AK20" s="25">
        <f>T3F1_Flat_Level</f>
        <v>124.229</v>
      </c>
      <c r="AL20" s="25">
        <f t="shared" si="11"/>
        <v>124.53489999999999</v>
      </c>
      <c r="AM20" s="25">
        <f t="shared" si="12"/>
        <v>124.6349</v>
      </c>
      <c r="AN20" s="25">
        <f t="shared" si="13"/>
        <v>124.8584</v>
      </c>
    </row>
    <row r="21" spans="1:40" s="25" customFormat="1" ht="14.5" customHeight="1" x14ac:dyDescent="0.35">
      <c r="A21" s="29" t="s">
        <v>83</v>
      </c>
      <c r="B21" s="29">
        <v>23</v>
      </c>
      <c r="C21" s="29">
        <v>6</v>
      </c>
      <c r="D21" s="29">
        <f t="shared" si="0"/>
        <v>23.5</v>
      </c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5">
        <f t="shared" si="17"/>
        <v>23.5</v>
      </c>
      <c r="Q21" s="12">
        <f>Q19+((Q22-Q19)*(($D21-$D19)/($D22-$D19)))</f>
        <v>124.64797377631655</v>
      </c>
      <c r="R21" s="29"/>
      <c r="S21" s="29"/>
      <c r="T21" s="12">
        <f>T20+((T24-T20)*(($D21-$D20)/($D24-$D20)))</f>
        <v>124.62751923086199</v>
      </c>
      <c r="U21" s="12">
        <f>(T3F1_Flat_Level-$Q21)*(($P22-$P20)/2)</f>
        <v>-0.19202964747841816</v>
      </c>
      <c r="V21" s="29"/>
      <c r="W21" s="29"/>
      <c r="X21" s="12">
        <f>X20+((X26-X20)*(($D21-$D20)/($D26-$D20)))</f>
        <v>124.71643531477808</v>
      </c>
      <c r="Y21" s="12">
        <f t="shared" si="9"/>
        <v>-5.1825480811754046E-2</v>
      </c>
      <c r="Z21" s="29">
        <v>1</v>
      </c>
      <c r="AA21" s="29"/>
      <c r="AB21" s="29">
        <f>$Q21+Z21</f>
        <v>125.64797377631655</v>
      </c>
      <c r="AC21" s="12">
        <f t="shared" si="10"/>
        <v>-5.9921474784167435E-3</v>
      </c>
      <c r="AD21" s="29"/>
      <c r="AE21" s="29"/>
      <c r="AF21" s="12">
        <f>AF20+((AF24-AF20)*(($D21-$D20)/($D24-$D20)))</f>
        <v>125.15251923086198</v>
      </c>
      <c r="AG21" s="12">
        <f t="shared" si="8"/>
        <v>9.644535252158401E-2</v>
      </c>
      <c r="AI21" s="25">
        <f t="shared" si="4"/>
        <v>23.5</v>
      </c>
      <c r="AJ21" s="25">
        <f t="shared" si="5"/>
        <v>124.64797377631655</v>
      </c>
      <c r="AK21" s="25">
        <f>T3F1_Flat_Level</f>
        <v>124.229</v>
      </c>
      <c r="AL21" s="25">
        <f t="shared" si="11"/>
        <v>124.53489999999999</v>
      </c>
      <c r="AM21" s="25">
        <f t="shared" si="12"/>
        <v>124.6349</v>
      </c>
      <c r="AN21" s="25">
        <f t="shared" si="13"/>
        <v>124.8584</v>
      </c>
    </row>
    <row r="22" spans="1:40" s="25" customFormat="1" ht="14.5" customHeight="1" x14ac:dyDescent="0.35">
      <c r="A22" s="29" t="s">
        <v>67</v>
      </c>
      <c r="B22" s="29">
        <v>24</v>
      </c>
      <c r="C22" s="29">
        <v>0</v>
      </c>
      <c r="D22" s="29">
        <f t="shared" si="0"/>
        <v>24</v>
      </c>
      <c r="E22" s="29">
        <v>5.26</v>
      </c>
      <c r="F22" s="30"/>
      <c r="G22" s="30"/>
      <c r="H22" s="30"/>
      <c r="I22" s="30"/>
      <c r="J22" s="30"/>
      <c r="K22" s="30"/>
      <c r="L22" s="30"/>
      <c r="M22" s="30">
        <v>1</v>
      </c>
      <c r="N22" s="30"/>
      <c r="O22" s="30">
        <f t="shared" ref="O22" si="19">SUM(F22:N22)</f>
        <v>1</v>
      </c>
      <c r="P22" s="25">
        <f t="shared" si="17"/>
        <v>24</v>
      </c>
      <c r="Q22" s="25">
        <f>$B$64-E22</f>
        <v>125.32797377631654</v>
      </c>
      <c r="R22" s="29"/>
      <c r="S22" s="29"/>
      <c r="T22" s="12"/>
      <c r="U22" s="12"/>
      <c r="V22" s="29"/>
      <c r="W22" s="29"/>
      <c r="X22" s="12"/>
      <c r="Y22" s="12"/>
      <c r="Z22" s="29"/>
      <c r="AA22" s="29"/>
      <c r="AB22" s="12"/>
      <c r="AC22" s="29"/>
      <c r="AD22" s="29"/>
      <c r="AE22" s="29"/>
      <c r="AF22" s="12"/>
      <c r="AG22" s="12"/>
      <c r="AI22" s="25">
        <f t="shared" si="4"/>
        <v>24</v>
      </c>
      <c r="AJ22" s="25">
        <f t="shared" si="5"/>
        <v>125.32797377631654</v>
      </c>
    </row>
    <row r="23" spans="1:40" s="25" customFormat="1" ht="14.5" customHeight="1" x14ac:dyDescent="0.35">
      <c r="A23" s="29" t="s">
        <v>83</v>
      </c>
      <c r="B23" s="29">
        <v>24</v>
      </c>
      <c r="C23" s="29">
        <v>6</v>
      </c>
      <c r="D23" s="29">
        <f t="shared" si="0"/>
        <v>24.5</v>
      </c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5">
        <f t="shared" ref="P23:P55" si="20">D23</f>
        <v>24.5</v>
      </c>
      <c r="Q23" s="12">
        <f>Q22+((Q25-Q22)*(($D23-$D22)/($D25-$D22)))</f>
        <v>124.55342832177108</v>
      </c>
      <c r="R23" s="29"/>
      <c r="S23" s="29"/>
      <c r="T23" s="12">
        <f>T20+((T24-T20)*(($D23-$D20)/($D24-$D20)))</f>
        <v>124.49842832177109</v>
      </c>
      <c r="U23" s="12">
        <f t="shared" ref="U23:U54" si="21">(T3F1_Flat_Level-$Q23)*(($P24-$P22)/2)</f>
        <v>-0.12166062066415506</v>
      </c>
      <c r="V23" s="29"/>
      <c r="W23" s="29"/>
      <c r="X23" s="12">
        <f>X20+((X26-X20)*(($D23-$D20)/($D26-$D20)))</f>
        <v>124.56074300708578</v>
      </c>
      <c r="Y23" s="12">
        <f t="shared" ref="Y23:Y55" si="22">(T3F2_Flat_Level-$Q23)*(($P24-$P22)/2)</f>
        <v>-6.9481206641572868E-3</v>
      </c>
      <c r="Z23" s="29">
        <v>0.5</v>
      </c>
      <c r="AA23" s="29"/>
      <c r="AB23" s="29">
        <f>$Q23+Z23</f>
        <v>125.05342832177108</v>
      </c>
      <c r="AC23" s="12">
        <f t="shared" ref="AC23:AC55" si="23">(T3F3_Flat_Level-$Q23)*(($P24-$P22)/2)</f>
        <v>3.0551879335845911E-2</v>
      </c>
      <c r="AD23" s="29"/>
      <c r="AE23" s="29"/>
      <c r="AF23" s="12">
        <f>AF20+((AF24-AF20)*(($D23-$D20)/($D24-$D20)))</f>
        <v>124.60342832177109</v>
      </c>
      <c r="AG23" s="12">
        <f t="shared" ref="AG23:AG55" si="24">(T3F4_Flat_Level-$Q23)*(($P24-$P22)/2)</f>
        <v>0.11436437933584642</v>
      </c>
      <c r="AI23" s="25">
        <f t="shared" si="4"/>
        <v>24.5</v>
      </c>
      <c r="AJ23" s="25">
        <f t="shared" si="5"/>
        <v>124.55342832177108</v>
      </c>
      <c r="AK23" s="25">
        <f t="shared" ref="AK23:AK54" si="25">T3F1_Flat_Level</f>
        <v>124.229</v>
      </c>
      <c r="AL23" s="25">
        <f t="shared" ref="AL23:AL55" si="26">T3F2_Flat_Level</f>
        <v>124.53489999999999</v>
      </c>
      <c r="AM23" s="25">
        <f t="shared" ref="AM23:AM55" si="27">T3F3_Flat_Level</f>
        <v>124.6349</v>
      </c>
      <c r="AN23" s="25">
        <f t="shared" ref="AN23:AN55" si="28">T3F4_Flat_Level</f>
        <v>124.8584</v>
      </c>
    </row>
    <row r="24" spans="1:40" s="25" customFormat="1" ht="14.5" customHeight="1" x14ac:dyDescent="0.35">
      <c r="A24" s="29" t="s">
        <v>152</v>
      </c>
      <c r="B24" s="29">
        <v>24</v>
      </c>
      <c r="C24" s="29">
        <v>9</v>
      </c>
      <c r="D24" s="29">
        <f t="shared" si="0"/>
        <v>24.75</v>
      </c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5">
        <f t="shared" si="20"/>
        <v>24.75</v>
      </c>
      <c r="Q24" s="12">
        <f>Q22+((Q25-Q22)*(($D24-$D22)/($D25-$D22)))</f>
        <v>124.16615559449836</v>
      </c>
      <c r="R24" s="29">
        <v>0.3</v>
      </c>
      <c r="S24" s="29">
        <v>0</v>
      </c>
      <c r="T24" s="29">
        <f>$Q24+R24</f>
        <v>124.46615559449836</v>
      </c>
      <c r="U24" s="12">
        <f t="shared" si="21"/>
        <v>1.3092584479507527E-2</v>
      </c>
      <c r="V24" s="29"/>
      <c r="W24" s="29"/>
      <c r="X24" s="12">
        <f>X20+((X26-X20)*(($D24-$D20)/($D26-$D20)))</f>
        <v>124.52181993016269</v>
      </c>
      <c r="Y24" s="12">
        <f t="shared" si="22"/>
        <v>7.6821751146173137E-2</v>
      </c>
      <c r="Z24" s="29"/>
      <c r="AA24" s="29"/>
      <c r="AB24" s="12">
        <f>AB23+((AB27-AB23)*(($D24-$D23)/($D27-$D23)))</f>
        <v>124.85454195813472</v>
      </c>
      <c r="AC24" s="12">
        <f t="shared" si="23"/>
        <v>9.7655084479508311E-2</v>
      </c>
      <c r="AD24" s="29">
        <v>0.3</v>
      </c>
      <c r="AE24" s="29"/>
      <c r="AF24" s="29">
        <f>$Q24+AD24</f>
        <v>124.46615559449836</v>
      </c>
      <c r="AG24" s="12">
        <f t="shared" si="24"/>
        <v>0.14421758447950872</v>
      </c>
      <c r="AI24" s="25">
        <f t="shared" si="4"/>
        <v>24.75</v>
      </c>
      <c r="AJ24" s="25">
        <f t="shared" si="5"/>
        <v>124.16615559449836</v>
      </c>
      <c r="AK24" s="25">
        <f t="shared" si="25"/>
        <v>124.229</v>
      </c>
      <c r="AL24" s="25">
        <f t="shared" si="26"/>
        <v>124.53489999999999</v>
      </c>
      <c r="AM24" s="25">
        <f t="shared" si="27"/>
        <v>124.6349</v>
      </c>
      <c r="AN24" s="25">
        <f t="shared" si="28"/>
        <v>124.8584</v>
      </c>
    </row>
    <row r="25" spans="1:40" s="25" customFormat="1" ht="14.5" customHeight="1" x14ac:dyDescent="0.35">
      <c r="A25" s="29" t="s">
        <v>67</v>
      </c>
      <c r="B25" s="29">
        <v>24</v>
      </c>
      <c r="C25" s="29">
        <v>11</v>
      </c>
      <c r="D25" s="29">
        <f t="shared" si="0"/>
        <v>24.916666666666668</v>
      </c>
      <c r="E25" s="29">
        <v>6.68</v>
      </c>
      <c r="F25" s="30"/>
      <c r="G25" s="30"/>
      <c r="H25" s="30"/>
      <c r="I25" s="30"/>
      <c r="J25" s="30"/>
      <c r="K25" s="30"/>
      <c r="L25" s="30">
        <v>1</v>
      </c>
      <c r="M25" s="30"/>
      <c r="N25" s="30"/>
      <c r="O25" s="30">
        <f t="shared" ref="O25" si="29">SUM(F25:N25)</f>
        <v>1</v>
      </c>
      <c r="P25" s="25">
        <f t="shared" si="20"/>
        <v>24.916666666666668</v>
      </c>
      <c r="Q25" s="25">
        <f>$B$64-E25</f>
        <v>123.90797377631654</v>
      </c>
      <c r="T25" s="12">
        <f>T24+((T29-T24)*(($D25-$D24)/($D29-$D24)))</f>
        <v>124.46729195813472</v>
      </c>
      <c r="U25" s="12">
        <f t="shared" si="21"/>
        <v>8.0256555920865225E-2</v>
      </c>
      <c r="X25" s="12">
        <f>X20+((X26-X20)*(($D25-$D20)/($D26-$D20)))</f>
        <v>124.49587121221397</v>
      </c>
      <c r="Y25" s="12">
        <f t="shared" si="22"/>
        <v>0.15673155592086374</v>
      </c>
      <c r="AB25" s="12">
        <f>AB23+((AB27-AB23)*(($D25-$D23)/($D27-$D23)))</f>
        <v>124.72195104904381</v>
      </c>
      <c r="AC25" s="12">
        <f t="shared" si="23"/>
        <v>0.18173155592086587</v>
      </c>
      <c r="AF25" s="12">
        <f>AF24+((AF26-AF24)*(($D25-$D24)/($D26-$D24)))</f>
        <v>124.37542832177108</v>
      </c>
      <c r="AG25" s="12">
        <f t="shared" si="24"/>
        <v>0.23760655592086621</v>
      </c>
      <c r="AI25" s="25">
        <f t="shared" si="4"/>
        <v>24.916666666666668</v>
      </c>
      <c r="AJ25" s="25">
        <f t="shared" si="5"/>
        <v>123.90797377631654</v>
      </c>
      <c r="AK25" s="25">
        <f t="shared" si="25"/>
        <v>124.229</v>
      </c>
      <c r="AL25" s="25">
        <f t="shared" si="26"/>
        <v>124.53489999999999</v>
      </c>
      <c r="AM25" s="25">
        <f t="shared" si="27"/>
        <v>124.6349</v>
      </c>
      <c r="AN25" s="25">
        <f t="shared" si="28"/>
        <v>124.8584</v>
      </c>
    </row>
    <row r="26" spans="1:40" s="25" customFormat="1" ht="14.5" customHeight="1" x14ac:dyDescent="0.35">
      <c r="A26" s="29" t="s">
        <v>87</v>
      </c>
      <c r="B26" s="29">
        <v>25</v>
      </c>
      <c r="C26" s="29">
        <v>3</v>
      </c>
      <c r="D26" s="29">
        <f t="shared" si="0"/>
        <v>25.25</v>
      </c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5">
        <f t="shared" si="20"/>
        <v>25.25</v>
      </c>
      <c r="Q26" s="12">
        <f>Q25+((Q31-Q25)*(($D26-$D25)/($D31-$D25)))</f>
        <v>123.89397377631654</v>
      </c>
      <c r="T26" s="12">
        <f>T24+((T29-T24)*(($D26-$D24)/($D29-$D24)))</f>
        <v>124.46956468540745</v>
      </c>
      <c r="U26" s="12">
        <f t="shared" si="21"/>
        <v>6.9797129934053084E-2</v>
      </c>
      <c r="V26" s="25">
        <v>0.55000000000000004</v>
      </c>
      <c r="W26" s="25">
        <v>-0.26</v>
      </c>
      <c r="X26" s="29">
        <f>$Q26+V26</f>
        <v>124.44397377631654</v>
      </c>
      <c r="Y26" s="12">
        <f t="shared" si="22"/>
        <v>0.13352629660071816</v>
      </c>
      <c r="AB26" s="12">
        <f>AB23+((AB27-AB23)*(($D26-$D23)/($D27-$D23)))</f>
        <v>124.45676923086199</v>
      </c>
      <c r="AC26" s="12">
        <f t="shared" si="23"/>
        <v>0.15435962993405314</v>
      </c>
      <c r="AD26" s="25">
        <v>0.3</v>
      </c>
      <c r="AF26" s="29">
        <f>$Q26+AD26</f>
        <v>124.19397377631654</v>
      </c>
      <c r="AG26" s="12">
        <f t="shared" si="24"/>
        <v>0.20092212993405317</v>
      </c>
      <c r="AI26" s="25">
        <f t="shared" si="4"/>
        <v>25.25</v>
      </c>
      <c r="AJ26" s="25">
        <f t="shared" si="5"/>
        <v>123.89397377631654</v>
      </c>
      <c r="AK26" s="25">
        <f t="shared" si="25"/>
        <v>124.229</v>
      </c>
      <c r="AL26" s="25">
        <f t="shared" si="26"/>
        <v>124.53489999999999</v>
      </c>
      <c r="AM26" s="25">
        <f t="shared" si="27"/>
        <v>124.6349</v>
      </c>
      <c r="AN26" s="25">
        <f t="shared" si="28"/>
        <v>124.8584</v>
      </c>
    </row>
    <row r="27" spans="1:40" s="25" customFormat="1" ht="14.5" customHeight="1" x14ac:dyDescent="0.35">
      <c r="A27" s="29" t="s">
        <v>83</v>
      </c>
      <c r="B27" s="29">
        <v>25</v>
      </c>
      <c r="C27" s="29">
        <v>4</v>
      </c>
      <c r="D27" s="29">
        <f t="shared" si="0"/>
        <v>25.333333333333332</v>
      </c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5">
        <f t="shared" si="20"/>
        <v>25.333333333333332</v>
      </c>
      <c r="Q27" s="12">
        <f>Q25+((Q31-Q25)*(($D27-$D25)/($D31-$D25)))</f>
        <v>123.89047377631654</v>
      </c>
      <c r="T27" s="12">
        <f>T24+((T29-T24)*(($D27-$D24)/($D29-$D24)))</f>
        <v>124.47013286722563</v>
      </c>
      <c r="U27" s="12">
        <f t="shared" si="21"/>
        <v>7.0526296600720864E-2</v>
      </c>
      <c r="X27" s="12">
        <f>X26+((X30-X26)*(($D27-$D26)/($D30-$D26)))</f>
        <v>124.452012237855</v>
      </c>
      <c r="Y27" s="12">
        <f t="shared" si="22"/>
        <v>0.13425546326738647</v>
      </c>
      <c r="Z27" s="25">
        <v>0.5</v>
      </c>
      <c r="AA27" s="25">
        <v>0.34</v>
      </c>
      <c r="AB27" s="29">
        <f>$Q27+Z27</f>
        <v>124.39047377631654</v>
      </c>
      <c r="AC27" s="12">
        <f t="shared" si="23"/>
        <v>0.15508879660072164</v>
      </c>
      <c r="AF27" s="12">
        <f>AF26+((AF30-AF26)*(($D27-$D26)/($D30-$D26)))</f>
        <v>124.25970454554731</v>
      </c>
      <c r="AG27" s="12">
        <f t="shared" si="24"/>
        <v>0.20165129660072206</v>
      </c>
      <c r="AI27" s="25">
        <f t="shared" si="4"/>
        <v>25.333333333333332</v>
      </c>
      <c r="AJ27" s="25">
        <f t="shared" si="5"/>
        <v>123.89047377631654</v>
      </c>
      <c r="AK27" s="25">
        <f t="shared" si="25"/>
        <v>124.229</v>
      </c>
      <c r="AL27" s="25">
        <f t="shared" si="26"/>
        <v>124.53489999999999</v>
      </c>
      <c r="AM27" s="25">
        <f t="shared" si="27"/>
        <v>124.6349</v>
      </c>
      <c r="AN27" s="25">
        <f t="shared" si="28"/>
        <v>124.8584</v>
      </c>
    </row>
    <row r="28" spans="1:40" s="25" customFormat="1" ht="14.5" customHeight="1" x14ac:dyDescent="0.35">
      <c r="A28" s="29" t="s">
        <v>83</v>
      </c>
      <c r="B28" s="29">
        <v>25</v>
      </c>
      <c r="C28" s="29">
        <v>8</v>
      </c>
      <c r="D28" s="29">
        <f t="shared" si="0"/>
        <v>25.666666666666668</v>
      </c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5">
        <f t="shared" si="20"/>
        <v>25.666666666666668</v>
      </c>
      <c r="Q28" s="12">
        <f>Q25+((Q31-Q25)*(($D28-$D25)/($D31-$D25)))</f>
        <v>123.87647377631654</v>
      </c>
      <c r="T28" s="12">
        <f>T24+((T29-T24)*(($D28-$D24)/($D29-$D24)))</f>
        <v>124.47240559449835</v>
      </c>
      <c r="U28" s="12">
        <f t="shared" si="21"/>
        <v>7.3442963267386668E-2</v>
      </c>
      <c r="X28" s="12">
        <f>X26+((X30-X26)*(($D28-$D26)/($D30-$D26)))</f>
        <v>124.48416608400885</v>
      </c>
      <c r="Y28" s="12">
        <f t="shared" si="22"/>
        <v>0.13717212993405228</v>
      </c>
      <c r="Z28" s="25">
        <v>0.5</v>
      </c>
      <c r="AB28" s="29">
        <f>$Q28+Z28</f>
        <v>124.37647377631654</v>
      </c>
      <c r="AC28" s="12">
        <f t="shared" si="23"/>
        <v>0.15800546326738746</v>
      </c>
      <c r="AF28" s="12">
        <f>AF26+((AF30-AF26)*(($D28-$D26)/($D30-$D26)))</f>
        <v>124.52262762247038</v>
      </c>
      <c r="AG28" s="12">
        <f t="shared" si="24"/>
        <v>0.20456796326738785</v>
      </c>
      <c r="AI28" s="25">
        <f t="shared" si="4"/>
        <v>25.666666666666668</v>
      </c>
      <c r="AJ28" s="25">
        <f t="shared" si="5"/>
        <v>123.87647377631654</v>
      </c>
      <c r="AK28" s="25">
        <f t="shared" si="25"/>
        <v>124.229</v>
      </c>
      <c r="AL28" s="25">
        <f t="shared" si="26"/>
        <v>124.53489999999999</v>
      </c>
      <c r="AM28" s="25">
        <f t="shared" si="27"/>
        <v>124.6349</v>
      </c>
      <c r="AN28" s="25">
        <f t="shared" si="28"/>
        <v>124.8584</v>
      </c>
    </row>
    <row r="29" spans="1:40" s="25" customFormat="1" ht="14.5" customHeight="1" x14ac:dyDescent="0.35">
      <c r="A29" s="29" t="s">
        <v>68</v>
      </c>
      <c r="B29" s="29">
        <v>25</v>
      </c>
      <c r="C29" s="29">
        <v>9</v>
      </c>
      <c r="D29" s="29">
        <f t="shared" si="0"/>
        <v>25.75</v>
      </c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5">
        <f t="shared" si="20"/>
        <v>25.75</v>
      </c>
      <c r="Q29" s="12">
        <f>Q25+((Q31-Q25)*(($D29-$D25)/($D31-$D25)))</f>
        <v>123.87297377631654</v>
      </c>
      <c r="R29" s="25">
        <v>0.6</v>
      </c>
      <c r="S29" s="25">
        <v>1.5</v>
      </c>
      <c r="T29" s="29">
        <f>$Q29+R29</f>
        <v>124.47297377631654</v>
      </c>
      <c r="U29" s="12">
        <f t="shared" si="21"/>
        <v>0.11867540789448541</v>
      </c>
      <c r="X29" s="12">
        <f>X26+((X30-X26)*(($D29-$D26)/($D30-$D26)))</f>
        <v>124.49220454554731</v>
      </c>
      <c r="Y29" s="12">
        <f t="shared" si="22"/>
        <v>0.22064207456114973</v>
      </c>
      <c r="AB29" s="12">
        <f>AB28+((AB32-AB28)*(($D29-$D28)/($D32-$D28)))</f>
        <v>124.38422797799721</v>
      </c>
      <c r="AC29" s="12">
        <f t="shared" si="23"/>
        <v>0.25397540789448581</v>
      </c>
      <c r="AF29" s="12">
        <f>AF26+((AF30-AF26)*(($D29-$D26)/($D30-$D26)))</f>
        <v>124.58835839170115</v>
      </c>
      <c r="AG29" s="12">
        <f t="shared" si="24"/>
        <v>0.32847540789448598</v>
      </c>
      <c r="AI29" s="25">
        <f t="shared" si="4"/>
        <v>25.75</v>
      </c>
      <c r="AJ29" s="25">
        <f t="shared" si="5"/>
        <v>123.87297377631654</v>
      </c>
      <c r="AK29" s="25">
        <f t="shared" si="25"/>
        <v>124.229</v>
      </c>
      <c r="AL29" s="25">
        <f t="shared" si="26"/>
        <v>124.53489999999999</v>
      </c>
      <c r="AM29" s="25">
        <f t="shared" si="27"/>
        <v>124.6349</v>
      </c>
      <c r="AN29" s="25">
        <f t="shared" si="28"/>
        <v>124.8584</v>
      </c>
    </row>
    <row r="30" spans="1:40" s="25" customFormat="1" ht="14.5" customHeight="1" x14ac:dyDescent="0.35">
      <c r="A30" s="29" t="s">
        <v>87</v>
      </c>
      <c r="B30" s="29">
        <v>26</v>
      </c>
      <c r="C30" s="29">
        <v>4</v>
      </c>
      <c r="D30" s="29">
        <f t="shared" si="0"/>
        <v>26.333333333333332</v>
      </c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5">
        <f t="shared" si="20"/>
        <v>26.333333333333332</v>
      </c>
      <c r="Q30" s="12">
        <f>Q25+((Q31-Q25)*(($D30-$D25)/($D31-$D25)))</f>
        <v>123.84847377631654</v>
      </c>
      <c r="T30" s="12">
        <f>T29+((T34-T29)*(($D30-$D29)/($D34-$D29)))</f>
        <v>124.36060952292287</v>
      </c>
      <c r="U30" s="12">
        <f t="shared" si="21"/>
        <v>0.15855259320144177</v>
      </c>
      <c r="V30" s="25">
        <v>0.7</v>
      </c>
      <c r="W30" s="25">
        <v>2.69</v>
      </c>
      <c r="X30" s="29">
        <f>$Q30+V30</f>
        <v>124.54847377631654</v>
      </c>
      <c r="Y30" s="12">
        <f t="shared" si="22"/>
        <v>0.28601092653477245</v>
      </c>
      <c r="AB30" s="12">
        <f>AB28+((AB32-AB28)*(($D30-$D28)/($D32-$D28)))</f>
        <v>124.43850738976192</v>
      </c>
      <c r="AC30" s="12">
        <f t="shared" si="23"/>
        <v>0.32767759320144263</v>
      </c>
      <c r="AD30" s="25">
        <v>1.2</v>
      </c>
      <c r="AE30" s="25">
        <v>3.4</v>
      </c>
      <c r="AF30" s="29">
        <f>$Q30+AD30</f>
        <v>125.04847377631654</v>
      </c>
      <c r="AG30" s="12">
        <f t="shared" si="24"/>
        <v>0.42080259320144303</v>
      </c>
      <c r="AI30" s="25">
        <f t="shared" si="4"/>
        <v>26.333333333333332</v>
      </c>
      <c r="AJ30" s="25">
        <f t="shared" si="5"/>
        <v>123.84847377631654</v>
      </c>
      <c r="AK30" s="25">
        <f t="shared" si="25"/>
        <v>124.229</v>
      </c>
      <c r="AL30" s="25">
        <f t="shared" si="26"/>
        <v>124.53489999999999</v>
      </c>
      <c r="AM30" s="25">
        <f t="shared" si="27"/>
        <v>124.6349</v>
      </c>
      <c r="AN30" s="25">
        <f t="shared" si="28"/>
        <v>124.8584</v>
      </c>
    </row>
    <row r="31" spans="1:40" s="25" customFormat="1" ht="14.5" customHeight="1" x14ac:dyDescent="0.35">
      <c r="A31" s="29" t="s">
        <v>67</v>
      </c>
      <c r="B31" s="29">
        <v>26</v>
      </c>
      <c r="C31" s="29">
        <v>7</v>
      </c>
      <c r="D31" s="29">
        <f t="shared" si="0"/>
        <v>26.583333333333332</v>
      </c>
      <c r="E31" s="29">
        <v>6.75</v>
      </c>
      <c r="F31" s="30"/>
      <c r="G31" s="30"/>
      <c r="H31" s="30"/>
      <c r="I31" s="30"/>
      <c r="J31" s="30"/>
      <c r="K31" s="30"/>
      <c r="L31" s="30">
        <v>0.5</v>
      </c>
      <c r="M31" s="30">
        <v>0.5</v>
      </c>
      <c r="N31" s="30"/>
      <c r="O31" s="30">
        <f t="shared" ref="O31" si="30">SUM(F31:N31)</f>
        <v>1</v>
      </c>
      <c r="P31" s="25">
        <f t="shared" si="20"/>
        <v>26.583333333333332</v>
      </c>
      <c r="Q31" s="25">
        <f>$B$64-E31</f>
        <v>123.83797377631655</v>
      </c>
      <c r="T31" s="12">
        <f>T29+((T34-T29)*(($D31-$D29)/($D34-$D29)))</f>
        <v>124.31245341432559</v>
      </c>
      <c r="U31" s="12">
        <f t="shared" si="21"/>
        <v>9.7756555920863519E-2</v>
      </c>
      <c r="X31" s="12">
        <f>X30+((X37-X30)*(($D31-$D30)/($D37-$D30)))</f>
        <v>124.51021377631655</v>
      </c>
      <c r="Y31" s="12">
        <f t="shared" si="22"/>
        <v>0.17423155592086204</v>
      </c>
      <c r="AB31" s="12">
        <f>AB28+((AB32-AB28)*(($D31-$D28)/($D32-$D28)))</f>
        <v>124.46176999480394</v>
      </c>
      <c r="AC31" s="12">
        <f t="shared" si="23"/>
        <v>0.19923155592086417</v>
      </c>
      <c r="AF31" s="12">
        <f>AF30+((AF37-AF30)*(($D31-$D30)/($D37-$D30)))</f>
        <v>124.96461377631654</v>
      </c>
      <c r="AG31" s="12">
        <f t="shared" si="24"/>
        <v>0.25510655592086451</v>
      </c>
      <c r="AI31" s="25">
        <f t="shared" si="4"/>
        <v>26.583333333333332</v>
      </c>
      <c r="AJ31" s="25">
        <f t="shared" si="5"/>
        <v>123.83797377631655</v>
      </c>
      <c r="AK31" s="25">
        <f t="shared" si="25"/>
        <v>124.229</v>
      </c>
      <c r="AL31" s="25">
        <f t="shared" si="26"/>
        <v>124.53489999999999</v>
      </c>
      <c r="AM31" s="25">
        <f t="shared" si="27"/>
        <v>124.6349</v>
      </c>
      <c r="AN31" s="25">
        <f t="shared" si="28"/>
        <v>124.8584</v>
      </c>
    </row>
    <row r="32" spans="1:40" s="25" customFormat="1" ht="14.5" customHeight="1" x14ac:dyDescent="0.35">
      <c r="A32" s="29" t="s">
        <v>83</v>
      </c>
      <c r="B32" s="29">
        <v>26</v>
      </c>
      <c r="C32" s="29">
        <v>10</v>
      </c>
      <c r="D32" s="29">
        <f t="shared" si="0"/>
        <v>26.833333333333332</v>
      </c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5">
        <f t="shared" si="20"/>
        <v>26.833333333333332</v>
      </c>
      <c r="Q32" s="12">
        <f>Q31+((Q35-Q31)*(($D32-$D31)/($D35-$D31)))</f>
        <v>123.78503259984596</v>
      </c>
      <c r="T32" s="12">
        <f>T29+((T34-T29)*(($D32-$D29)/($D34-$D29)))</f>
        <v>124.26429730572831</v>
      </c>
      <c r="U32" s="12">
        <f t="shared" si="21"/>
        <v>0.1849864167308492</v>
      </c>
      <c r="X32" s="12">
        <f>X30+((X37-X30)*(($D32-$D30)/($D37-$D30)))</f>
        <v>124.47195377631654</v>
      </c>
      <c r="Y32" s="12">
        <f t="shared" si="22"/>
        <v>0.31244475006418043</v>
      </c>
      <c r="Z32" s="25">
        <v>0.7</v>
      </c>
      <c r="AA32" s="25">
        <v>3.77</v>
      </c>
      <c r="AB32" s="29">
        <f>$Q32+Z32</f>
        <v>124.48503259984597</v>
      </c>
      <c r="AC32" s="12">
        <f t="shared" si="23"/>
        <v>0.35411141673085073</v>
      </c>
      <c r="AF32" s="12">
        <f>AF30+((AF37-AF30)*(($D32-$D30)/($D37-$D30)))</f>
        <v>124.88075377631654</v>
      </c>
      <c r="AG32" s="12">
        <f t="shared" si="24"/>
        <v>0.44723641673085157</v>
      </c>
      <c r="AI32" s="25">
        <f t="shared" si="4"/>
        <v>26.833333333333332</v>
      </c>
      <c r="AJ32" s="25">
        <f t="shared" si="5"/>
        <v>123.78503259984596</v>
      </c>
      <c r="AK32" s="25">
        <f t="shared" si="25"/>
        <v>124.229</v>
      </c>
      <c r="AL32" s="25">
        <f t="shared" si="26"/>
        <v>124.53489999999999</v>
      </c>
      <c r="AM32" s="25">
        <f t="shared" si="27"/>
        <v>124.6349</v>
      </c>
      <c r="AN32" s="25">
        <f t="shared" si="28"/>
        <v>124.8584</v>
      </c>
    </row>
    <row r="33" spans="1:40" s="25" customFormat="1" ht="14.5" customHeight="1" x14ac:dyDescent="0.35">
      <c r="A33" s="29" t="s">
        <v>83</v>
      </c>
      <c r="B33" s="29">
        <v>27</v>
      </c>
      <c r="C33" s="29">
        <v>5</v>
      </c>
      <c r="D33" s="29">
        <f t="shared" si="0"/>
        <v>27.416666666666668</v>
      </c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5">
        <f t="shared" si="20"/>
        <v>27.416666666666668</v>
      </c>
      <c r="Q33" s="12">
        <f>Q31+((Q35-Q31)*(($D33-$D31)/($D35-$D31)))</f>
        <v>123.66150318808126</v>
      </c>
      <c r="T33" s="12">
        <f>T29+((T34-T29)*(($D33-$D29)/($D34-$D29)))</f>
        <v>124.15193305233464</v>
      </c>
      <c r="U33" s="12">
        <f t="shared" si="21"/>
        <v>0.30739410645598703</v>
      </c>
      <c r="X33" s="12">
        <f>X30+((X37-X30)*(($D33-$D30)/($D37-$D30)))</f>
        <v>124.38268044298322</v>
      </c>
      <c r="Y33" s="12">
        <f t="shared" si="22"/>
        <v>0.47308993978931752</v>
      </c>
      <c r="Z33" s="25">
        <v>0.4</v>
      </c>
      <c r="AB33" s="29">
        <f>$Q33+Z33</f>
        <v>124.06150318808126</v>
      </c>
      <c r="AC33" s="12">
        <f t="shared" si="23"/>
        <v>0.52725660645598893</v>
      </c>
      <c r="AF33" s="12">
        <f>AF30+((AF37-AF30)*(($D33-$D30)/($D37-$D30)))</f>
        <v>124.68508044298321</v>
      </c>
      <c r="AG33" s="12">
        <f t="shared" si="24"/>
        <v>0.64831910645598989</v>
      </c>
      <c r="AI33" s="25">
        <f t="shared" si="4"/>
        <v>27.416666666666668</v>
      </c>
      <c r="AJ33" s="25">
        <f t="shared" si="5"/>
        <v>123.66150318808126</v>
      </c>
      <c r="AK33" s="25">
        <f t="shared" si="25"/>
        <v>124.229</v>
      </c>
      <c r="AL33" s="25">
        <f t="shared" si="26"/>
        <v>124.53489999999999</v>
      </c>
      <c r="AM33" s="25">
        <f t="shared" si="27"/>
        <v>124.6349</v>
      </c>
      <c r="AN33" s="25">
        <f t="shared" si="28"/>
        <v>124.8584</v>
      </c>
    </row>
    <row r="34" spans="1:40" s="25" customFormat="1" ht="14.5" customHeight="1" x14ac:dyDescent="0.35">
      <c r="A34" s="29" t="s">
        <v>68</v>
      </c>
      <c r="B34" s="29">
        <v>27</v>
      </c>
      <c r="C34" s="29">
        <v>11</v>
      </c>
      <c r="D34" s="29">
        <f t="shared" si="0"/>
        <v>27.916666666666668</v>
      </c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5">
        <f t="shared" si="20"/>
        <v>27.916666666666668</v>
      </c>
      <c r="Q34" s="12">
        <f>Q31+((Q35-Q31)*(($D34-$D31)/($D35-$D31)))</f>
        <v>123.55562083514008</v>
      </c>
      <c r="R34" s="25">
        <v>0.5</v>
      </c>
      <c r="S34" s="25">
        <v>0.12</v>
      </c>
      <c r="T34" s="29">
        <f>$Q34+R34</f>
        <v>124.05562083514008</v>
      </c>
      <c r="U34" s="12">
        <f t="shared" si="21"/>
        <v>0.19640225641747733</v>
      </c>
      <c r="X34" s="12">
        <f>X30+((X37-X30)*(($D34-$D30)/($D37-$D30)))</f>
        <v>124.30616044298323</v>
      </c>
      <c r="Y34" s="12">
        <f t="shared" si="22"/>
        <v>0.28562308975080875</v>
      </c>
      <c r="AB34" s="12">
        <f>AB33+((AB36-AB33)*(($D34-$D33)/($D36-$D33)))</f>
        <v>124.19012350893686</v>
      </c>
      <c r="AC34" s="12">
        <f t="shared" si="23"/>
        <v>0.31478975641747786</v>
      </c>
      <c r="AF34" s="12">
        <f>AF30+((AF37-AF30)*(($D34-$D30)/($D37-$D30)))</f>
        <v>124.51736044298322</v>
      </c>
      <c r="AG34" s="12">
        <f t="shared" si="24"/>
        <v>0.37997725641747809</v>
      </c>
      <c r="AI34" s="25">
        <f t="shared" si="4"/>
        <v>27.916666666666668</v>
      </c>
      <c r="AJ34" s="25">
        <f t="shared" si="5"/>
        <v>123.55562083514008</v>
      </c>
      <c r="AK34" s="25">
        <f t="shared" si="25"/>
        <v>124.229</v>
      </c>
      <c r="AL34" s="25">
        <f t="shared" si="26"/>
        <v>124.53489999999999</v>
      </c>
      <c r="AM34" s="25">
        <f t="shared" si="27"/>
        <v>124.6349</v>
      </c>
      <c r="AN34" s="25">
        <f t="shared" si="28"/>
        <v>124.8584</v>
      </c>
    </row>
    <row r="35" spans="1:40" s="25" customFormat="1" ht="14.5" customHeight="1" x14ac:dyDescent="0.35">
      <c r="A35" s="29" t="s">
        <v>67</v>
      </c>
      <c r="B35" s="29">
        <v>28</v>
      </c>
      <c r="C35" s="29">
        <v>0</v>
      </c>
      <c r="D35" s="29">
        <f t="shared" si="0"/>
        <v>28</v>
      </c>
      <c r="E35" s="29">
        <v>7.05</v>
      </c>
      <c r="F35" s="30"/>
      <c r="G35" s="30"/>
      <c r="H35" s="30"/>
      <c r="I35" s="30"/>
      <c r="J35" s="30"/>
      <c r="K35" s="30"/>
      <c r="L35" s="30">
        <v>1</v>
      </c>
      <c r="M35" s="30"/>
      <c r="N35" s="30"/>
      <c r="O35" s="30">
        <f t="shared" ref="O35" si="31">SUM(F35:N35)</f>
        <v>1</v>
      </c>
      <c r="P35" s="25">
        <f t="shared" si="20"/>
        <v>28</v>
      </c>
      <c r="Q35" s="25">
        <f>$B$64-E35</f>
        <v>123.53797377631655</v>
      </c>
      <c r="T35" s="12">
        <f>T34+((T38-T34)*(($D35-$D34)/($D38-$D34)))</f>
        <v>124.05628913579368</v>
      </c>
      <c r="U35" s="12">
        <f t="shared" si="21"/>
        <v>0.1439637966007182</v>
      </c>
      <c r="X35" s="12">
        <f>X30+((X37-X30)*(($D35-$D30)/($D37-$D30)))</f>
        <v>124.29340710964989</v>
      </c>
      <c r="Y35" s="12">
        <f t="shared" si="22"/>
        <v>0.20769296326738326</v>
      </c>
      <c r="AB35" s="12">
        <f>AB33+((AB36-AB33)*(($D35-$D33)/($D36-$D33)))</f>
        <v>124.21156022907947</v>
      </c>
      <c r="AC35" s="12">
        <f t="shared" si="23"/>
        <v>0.22852629660071824</v>
      </c>
      <c r="AF35" s="12">
        <f>AF30+((AF37-AF30)*(($D35-$D30)/($D37-$D30)))</f>
        <v>124.48940710964987</v>
      </c>
      <c r="AG35" s="12">
        <f t="shared" si="24"/>
        <v>0.27508879660071828</v>
      </c>
      <c r="AI35" s="25">
        <f t="shared" si="4"/>
        <v>28</v>
      </c>
      <c r="AJ35" s="25">
        <f t="shared" si="5"/>
        <v>123.53797377631655</v>
      </c>
      <c r="AK35" s="25">
        <f t="shared" si="25"/>
        <v>124.229</v>
      </c>
      <c r="AL35" s="25">
        <f t="shared" si="26"/>
        <v>124.53489999999999</v>
      </c>
      <c r="AM35" s="25">
        <f t="shared" si="27"/>
        <v>124.6349</v>
      </c>
      <c r="AN35" s="25">
        <f t="shared" si="28"/>
        <v>124.8584</v>
      </c>
    </row>
    <row r="36" spans="1:40" s="25" customFormat="1" ht="14.5" customHeight="1" x14ac:dyDescent="0.35">
      <c r="A36" s="29" t="s">
        <v>83</v>
      </c>
      <c r="B36" s="29">
        <v>28</v>
      </c>
      <c r="C36" s="29">
        <v>4</v>
      </c>
      <c r="D36" s="29">
        <f t="shared" si="0"/>
        <v>28.333333333333332</v>
      </c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5">
        <f t="shared" si="20"/>
        <v>28.333333333333332</v>
      </c>
      <c r="Q36" s="12">
        <f>Q35+((Q42-Q35)*(($D36-$D35)/($D42-$D35)))</f>
        <v>123.54730710964988</v>
      </c>
      <c r="T36" s="12">
        <f>T34+((T38-T34)*(($D36-$D34)/($D38-$D34)))</f>
        <v>124.05896233840805</v>
      </c>
      <c r="U36" s="12">
        <f t="shared" si="21"/>
        <v>0.14201935215627556</v>
      </c>
      <c r="X36" s="12">
        <f>X30+((X37-X30)*(($D36-$D30)/($D37-$D30)))</f>
        <v>124.24239377631656</v>
      </c>
      <c r="Y36" s="12">
        <f t="shared" si="22"/>
        <v>0.20574851882294115</v>
      </c>
      <c r="Z36" s="25">
        <v>0.75</v>
      </c>
      <c r="AA36" s="25">
        <v>1.01</v>
      </c>
      <c r="AB36" s="29">
        <f>$Q36+Z36</f>
        <v>124.29730710964988</v>
      </c>
      <c r="AC36" s="12">
        <f t="shared" si="23"/>
        <v>0.22658185215627633</v>
      </c>
      <c r="AF36" s="12">
        <f>AF30+((AF37-AF30)*(($D36-$D30)/($D37-$D30)))</f>
        <v>124.37759377631654</v>
      </c>
      <c r="AG36" s="12">
        <f t="shared" si="24"/>
        <v>0.27314435215627675</v>
      </c>
      <c r="AI36" s="25">
        <f t="shared" si="4"/>
        <v>28.333333333333332</v>
      </c>
      <c r="AJ36" s="25">
        <f t="shared" si="5"/>
        <v>123.54730710964988</v>
      </c>
      <c r="AK36" s="25">
        <f t="shared" si="25"/>
        <v>124.229</v>
      </c>
      <c r="AL36" s="25">
        <f t="shared" si="26"/>
        <v>124.53489999999999</v>
      </c>
      <c r="AM36" s="25">
        <f t="shared" si="27"/>
        <v>124.6349</v>
      </c>
      <c r="AN36" s="25">
        <f t="shared" si="28"/>
        <v>124.8584</v>
      </c>
    </row>
    <row r="37" spans="1:40" s="25" customFormat="1" ht="14.5" customHeight="1" x14ac:dyDescent="0.35">
      <c r="A37" s="29" t="s">
        <v>87</v>
      </c>
      <c r="B37" s="29">
        <v>28</v>
      </c>
      <c r="C37" s="29">
        <v>5</v>
      </c>
      <c r="D37" s="29">
        <f t="shared" si="0"/>
        <v>28.416666666666668</v>
      </c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5">
        <f t="shared" si="20"/>
        <v>28.416666666666668</v>
      </c>
      <c r="Q37" s="12">
        <f>Q35+((Q42-Q35)*(($D37-$D35)/($D42-$D35)))</f>
        <v>123.54964044298322</v>
      </c>
      <c r="T37" s="12">
        <f>T34+((T38-T34)*(($D37-$D34)/($D38-$D34)))</f>
        <v>124.05963063906165</v>
      </c>
      <c r="U37" s="12">
        <f t="shared" si="21"/>
        <v>0.19814653746322858</v>
      </c>
      <c r="V37" s="25">
        <v>0.68</v>
      </c>
      <c r="W37" s="25">
        <v>2.39</v>
      </c>
      <c r="X37" s="29">
        <f>$Q37+V37</f>
        <v>124.22964044298323</v>
      </c>
      <c r="Y37" s="12">
        <f t="shared" si="22"/>
        <v>0.28736737079656055</v>
      </c>
      <c r="AB37" s="12">
        <f>AB36+((AB39-AB36)*(($D37-$D36)/($D39-$D36)))</f>
        <v>124.26589044298321</v>
      </c>
      <c r="AC37" s="12">
        <f t="shared" si="23"/>
        <v>0.31653403746322983</v>
      </c>
      <c r="AD37" s="25">
        <v>0.8</v>
      </c>
      <c r="AE37" s="25">
        <v>1.08</v>
      </c>
      <c r="AF37" s="29">
        <f>$Q37+AD37</f>
        <v>124.34964044298322</v>
      </c>
      <c r="AG37" s="12">
        <f t="shared" si="24"/>
        <v>0.38172153746323051</v>
      </c>
      <c r="AI37" s="25">
        <f t="shared" si="4"/>
        <v>28.416666666666668</v>
      </c>
      <c r="AJ37" s="25">
        <f t="shared" si="5"/>
        <v>123.54964044298322</v>
      </c>
      <c r="AK37" s="25">
        <f t="shared" si="25"/>
        <v>124.229</v>
      </c>
      <c r="AL37" s="25">
        <f t="shared" si="26"/>
        <v>124.53489999999999</v>
      </c>
      <c r="AM37" s="25">
        <f t="shared" si="27"/>
        <v>124.6349</v>
      </c>
      <c r="AN37" s="25">
        <f t="shared" si="28"/>
        <v>124.8584</v>
      </c>
    </row>
    <row r="38" spans="1:40" s="25" customFormat="1" ht="14.5" customHeight="1" x14ac:dyDescent="0.35">
      <c r="A38" s="29" t="s">
        <v>68</v>
      </c>
      <c r="B38" s="29">
        <v>28</v>
      </c>
      <c r="C38" s="29">
        <v>11</v>
      </c>
      <c r="D38" s="29">
        <f t="shared" si="0"/>
        <v>28.916666666666668</v>
      </c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5">
        <f t="shared" si="20"/>
        <v>28.916666666666668</v>
      </c>
      <c r="Q38" s="12">
        <f>Q35+((Q42-Q35)*(($D38-$D35)/($D42-$D35)))</f>
        <v>123.56364044298321</v>
      </c>
      <c r="R38" s="25">
        <v>0.5</v>
      </c>
      <c r="T38" s="29">
        <f>$Q38+R38</f>
        <v>124.06364044298321</v>
      </c>
      <c r="U38" s="12">
        <f t="shared" si="21"/>
        <v>0.19406320412989528</v>
      </c>
      <c r="X38" s="12">
        <f>X37+((X40-X37)*(($D38-$D37)/($D40-$D37)))</f>
        <v>124.33364044298322</v>
      </c>
      <c r="Y38" s="12">
        <f t="shared" si="22"/>
        <v>0.28328403746322672</v>
      </c>
      <c r="AB38" s="12">
        <f>AB36+((AB39-AB36)*(($D38-$D36)/($D39-$D36)))</f>
        <v>124.07739044298322</v>
      </c>
      <c r="AC38" s="12">
        <f t="shared" si="23"/>
        <v>0.31245070412989578</v>
      </c>
      <c r="AF38" s="12">
        <f>AF37+((AF40-AF37)*(($D38-$D37)/($D40-$D37)))</f>
        <v>124.54364044298322</v>
      </c>
      <c r="AG38" s="12">
        <f t="shared" si="24"/>
        <v>0.37763820412989607</v>
      </c>
      <c r="AI38" s="25">
        <f t="shared" si="4"/>
        <v>28.916666666666668</v>
      </c>
      <c r="AJ38" s="25">
        <f t="shared" si="5"/>
        <v>123.56364044298321</v>
      </c>
      <c r="AK38" s="25">
        <f t="shared" si="25"/>
        <v>124.229</v>
      </c>
      <c r="AL38" s="25">
        <f t="shared" si="26"/>
        <v>124.53489999999999</v>
      </c>
      <c r="AM38" s="25">
        <f t="shared" si="27"/>
        <v>124.6349</v>
      </c>
      <c r="AN38" s="25">
        <f t="shared" si="28"/>
        <v>124.8584</v>
      </c>
    </row>
    <row r="39" spans="1:40" s="25" customFormat="1" ht="14.5" customHeight="1" x14ac:dyDescent="0.35">
      <c r="A39" s="29" t="s">
        <v>83</v>
      </c>
      <c r="B39" s="29">
        <v>29</v>
      </c>
      <c r="C39" s="29">
        <v>0</v>
      </c>
      <c r="D39" s="29">
        <f t="shared" si="0"/>
        <v>29</v>
      </c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5">
        <f t="shared" si="20"/>
        <v>29</v>
      </c>
      <c r="Q39" s="12">
        <f>Q35+((Q42-Q35)*(($D39-$D35)/($D42-$D35)))</f>
        <v>123.56597377631654</v>
      </c>
      <c r="T39" s="12">
        <f>T38+((T47-T38)*(($D39-$D38)/($D47-$D38)))</f>
        <v>124.06225155409433</v>
      </c>
      <c r="U39" s="12">
        <f t="shared" si="21"/>
        <v>0.33151311184172982</v>
      </c>
      <c r="X39" s="12">
        <f>X37+((X40-X37)*(($D39-$D37)/($D40-$D37)))</f>
        <v>124.35097377631655</v>
      </c>
      <c r="Y39" s="12">
        <f t="shared" si="22"/>
        <v>0.48446311184172686</v>
      </c>
      <c r="Z39" s="25">
        <v>0.48</v>
      </c>
      <c r="AB39" s="29">
        <f>$Q39+Z39</f>
        <v>124.04597377631654</v>
      </c>
      <c r="AC39" s="12">
        <f t="shared" si="23"/>
        <v>0.53446311184173112</v>
      </c>
      <c r="AF39" s="12">
        <f>AF37+((AF40-AF37)*(($D39-$D37)/($D40-$D37)))</f>
        <v>124.57597377631654</v>
      </c>
      <c r="AG39" s="12">
        <f t="shared" si="24"/>
        <v>0.6462131118417318</v>
      </c>
      <c r="AI39" s="25">
        <f t="shared" si="4"/>
        <v>29</v>
      </c>
      <c r="AJ39" s="25">
        <f t="shared" si="5"/>
        <v>123.56597377631654</v>
      </c>
      <c r="AK39" s="25">
        <f t="shared" si="25"/>
        <v>124.229</v>
      </c>
      <c r="AL39" s="25">
        <f t="shared" si="26"/>
        <v>124.53489999999999</v>
      </c>
      <c r="AM39" s="25">
        <f t="shared" si="27"/>
        <v>124.6349</v>
      </c>
      <c r="AN39" s="25">
        <f t="shared" si="28"/>
        <v>124.8584</v>
      </c>
    </row>
    <row r="40" spans="1:40" s="25" customFormat="1" ht="14.5" customHeight="1" x14ac:dyDescent="0.35">
      <c r="A40" s="29" t="s">
        <v>87</v>
      </c>
      <c r="B40" s="29">
        <v>29</v>
      </c>
      <c r="C40" s="29">
        <v>11</v>
      </c>
      <c r="D40" s="29">
        <f t="shared" si="0"/>
        <v>29.916666666666668</v>
      </c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5">
        <f t="shared" si="20"/>
        <v>29.916666666666668</v>
      </c>
      <c r="Q40" s="12">
        <f>Q35+((Q42-Q35)*(($D40-$D35)/($D42-$D35)))</f>
        <v>123.59164044298321</v>
      </c>
      <c r="T40" s="12">
        <f>T38+((T47-T38)*(($D40-$D38)/($D47-$D38)))</f>
        <v>124.04697377631655</v>
      </c>
      <c r="U40" s="12">
        <f t="shared" si="21"/>
        <v>0.31867977850839679</v>
      </c>
      <c r="V40" s="25">
        <v>0.95</v>
      </c>
      <c r="W40" s="25">
        <v>1.52</v>
      </c>
      <c r="X40" s="29">
        <f>$Q40+V40</f>
        <v>124.54164044298321</v>
      </c>
      <c r="Y40" s="12">
        <f t="shared" si="22"/>
        <v>0.47162977850839383</v>
      </c>
      <c r="AB40" s="12">
        <f>AB39+((AB41-AB39)*(($D40-$D39)/($D41-$D39)))</f>
        <v>124.75914044298321</v>
      </c>
      <c r="AC40" s="12">
        <f t="shared" si="23"/>
        <v>0.52162977850839809</v>
      </c>
      <c r="AD40" s="25">
        <v>1.34</v>
      </c>
      <c r="AE40" s="25">
        <v>2.63</v>
      </c>
      <c r="AF40" s="29">
        <f>$Q40+AD40</f>
        <v>124.93164044298321</v>
      </c>
      <c r="AG40" s="12">
        <f t="shared" si="24"/>
        <v>0.63337977850839877</v>
      </c>
      <c r="AI40" s="25">
        <f t="shared" si="4"/>
        <v>29.916666666666668</v>
      </c>
      <c r="AJ40" s="25">
        <f t="shared" si="5"/>
        <v>123.59164044298321</v>
      </c>
      <c r="AK40" s="25">
        <f t="shared" si="25"/>
        <v>124.229</v>
      </c>
      <c r="AL40" s="25">
        <f t="shared" si="26"/>
        <v>124.53489999999999</v>
      </c>
      <c r="AM40" s="25">
        <f t="shared" si="27"/>
        <v>124.6349</v>
      </c>
      <c r="AN40" s="25">
        <f t="shared" si="28"/>
        <v>124.8584</v>
      </c>
    </row>
    <row r="41" spans="1:40" s="25" customFormat="1" ht="14.5" customHeight="1" x14ac:dyDescent="0.35">
      <c r="A41" s="29" t="s">
        <v>83</v>
      </c>
      <c r="B41" s="29">
        <v>30</v>
      </c>
      <c r="C41" s="29">
        <v>0</v>
      </c>
      <c r="D41" s="29">
        <f t="shared" si="0"/>
        <v>30</v>
      </c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5">
        <f t="shared" si="20"/>
        <v>30</v>
      </c>
      <c r="Q41" s="12">
        <f>Q35+((Q42-Q35)*(($D41-$D35)/($D42-$D35)))</f>
        <v>123.59397377631655</v>
      </c>
      <c r="T41" s="12">
        <f>T38+((T47-T38)*(($D41-$D38)/($D47-$D38)))</f>
        <v>124.04558488742767</v>
      </c>
      <c r="U41" s="12">
        <f t="shared" si="21"/>
        <v>0.18521598190767366</v>
      </c>
      <c r="X41" s="12">
        <f>X40+((X47-X40)*(($D41-$D40)/($D47-$D40)))</f>
        <v>124.53459229483506</v>
      </c>
      <c r="Y41" s="12">
        <f t="shared" si="22"/>
        <v>0.27443681524100511</v>
      </c>
      <c r="Z41" s="25">
        <v>1.23</v>
      </c>
      <c r="AA41" s="25">
        <v>3.74</v>
      </c>
      <c r="AB41" s="29">
        <f>$Q41+Z41</f>
        <v>124.82397377631655</v>
      </c>
      <c r="AC41" s="12">
        <f t="shared" si="23"/>
        <v>0.30360348190767417</v>
      </c>
      <c r="AF41" s="12">
        <f>AF40+((AF47-AF40)*(($D41-$D40)/($D47-$D40)))</f>
        <v>124.92303673927951</v>
      </c>
      <c r="AG41" s="12">
        <f t="shared" si="24"/>
        <v>0.36879098190767445</v>
      </c>
      <c r="AI41" s="25">
        <f t="shared" si="4"/>
        <v>30</v>
      </c>
      <c r="AJ41" s="25">
        <f t="shared" si="5"/>
        <v>123.59397377631655</v>
      </c>
      <c r="AK41" s="25">
        <f t="shared" si="25"/>
        <v>124.229</v>
      </c>
      <c r="AL41" s="25">
        <f t="shared" si="26"/>
        <v>124.53489999999999</v>
      </c>
      <c r="AM41" s="25">
        <f t="shared" si="27"/>
        <v>124.6349</v>
      </c>
      <c r="AN41" s="25">
        <f t="shared" si="28"/>
        <v>124.8584</v>
      </c>
    </row>
    <row r="42" spans="1:40" s="25" customFormat="1" ht="14.5" customHeight="1" x14ac:dyDescent="0.35">
      <c r="A42" s="29" t="s">
        <v>67</v>
      </c>
      <c r="B42" s="29">
        <v>30</v>
      </c>
      <c r="C42" s="29">
        <v>6</v>
      </c>
      <c r="D42" s="29">
        <f t="shared" si="0"/>
        <v>30.5</v>
      </c>
      <c r="E42" s="29">
        <v>6.98</v>
      </c>
      <c r="F42" s="30"/>
      <c r="G42" s="30"/>
      <c r="H42" s="30">
        <v>0.2</v>
      </c>
      <c r="I42" s="30"/>
      <c r="J42" s="30">
        <v>0.8</v>
      </c>
      <c r="K42" s="30"/>
      <c r="L42" s="30"/>
      <c r="M42" s="30"/>
      <c r="N42" s="30"/>
      <c r="O42" s="30">
        <f t="shared" ref="O42" si="32">SUM(F42:N42)</f>
        <v>1</v>
      </c>
      <c r="P42" s="25">
        <f t="shared" si="20"/>
        <v>30.5</v>
      </c>
      <c r="Q42" s="25">
        <f>$B$64-E42</f>
        <v>123.60797377631654</v>
      </c>
      <c r="T42" s="12">
        <f>T38+((T47-T38)*(($D42-$D38)/($D47-$D38)))</f>
        <v>124.03725155409433</v>
      </c>
      <c r="U42" s="12">
        <f t="shared" si="21"/>
        <v>0.23288483388129677</v>
      </c>
      <c r="X42" s="12">
        <f>X40+((X47-X40)*(($D42-$D40)/($D47-$D40)))</f>
        <v>124.49230340594617</v>
      </c>
      <c r="Y42" s="12">
        <f t="shared" si="22"/>
        <v>0.34759733388129455</v>
      </c>
      <c r="AB42" s="12">
        <f>AB41+((AB43-AB41)*(($D42-$D41)/($D43-$D41)))</f>
        <v>124.52680710964988</v>
      </c>
      <c r="AC42" s="12">
        <f t="shared" si="23"/>
        <v>0.38509733388129774</v>
      </c>
      <c r="AF42" s="12">
        <f>AF40+((AF47-AF40)*(($D42-$D40)/($D47-$D40)))</f>
        <v>124.87141451705729</v>
      </c>
      <c r="AG42" s="12">
        <f t="shared" si="24"/>
        <v>0.46890983388129825</v>
      </c>
      <c r="AI42" s="25">
        <f t="shared" si="4"/>
        <v>30.5</v>
      </c>
      <c r="AJ42" s="25">
        <f t="shared" si="5"/>
        <v>123.60797377631654</v>
      </c>
      <c r="AK42" s="25">
        <f t="shared" si="25"/>
        <v>124.229</v>
      </c>
      <c r="AL42" s="25">
        <f t="shared" si="26"/>
        <v>124.53489999999999</v>
      </c>
      <c r="AM42" s="25">
        <f t="shared" si="27"/>
        <v>124.6349</v>
      </c>
      <c r="AN42" s="25">
        <f t="shared" si="28"/>
        <v>124.8584</v>
      </c>
    </row>
    <row r="43" spans="1:40" s="25" customFormat="1" ht="14.5" customHeight="1" x14ac:dyDescent="0.35">
      <c r="A43" s="29" t="s">
        <v>83</v>
      </c>
      <c r="B43" s="29">
        <v>30</v>
      </c>
      <c r="C43" s="29">
        <v>9</v>
      </c>
      <c r="D43" s="29">
        <f t="shared" si="0"/>
        <v>30.75</v>
      </c>
      <c r="E43" s="29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5">
        <f t="shared" si="20"/>
        <v>30.75</v>
      </c>
      <c r="Q43" s="12">
        <f>Q42+((Q48-Q42)*(($D43-$D42)/($D48-$D42)))</f>
        <v>123.59822377631654</v>
      </c>
      <c r="T43" s="12">
        <f>T38+((T47-T38)*(($D43-$D38)/($D47-$D38)))</f>
        <v>124.03308488742766</v>
      </c>
      <c r="U43" s="12">
        <f t="shared" si="21"/>
        <v>0.18397639857434064</v>
      </c>
      <c r="X43" s="12">
        <f>X40+((X47-X40)*(($D43-$D40)/($D47-$D40)))</f>
        <v>124.47115896150173</v>
      </c>
      <c r="Y43" s="12">
        <f t="shared" si="22"/>
        <v>0.27319723190767203</v>
      </c>
      <c r="Z43" s="25">
        <v>0.78</v>
      </c>
      <c r="AB43" s="29">
        <f>$Q43+Z43</f>
        <v>124.37822377631655</v>
      </c>
      <c r="AC43" s="12">
        <f t="shared" si="23"/>
        <v>0.30236389857434115</v>
      </c>
      <c r="AF43" s="12">
        <f>AF40+((AF47-AF40)*(($D43-$D40)/($D47-$D40)))</f>
        <v>124.84560340594618</v>
      </c>
      <c r="AG43" s="12">
        <f t="shared" si="24"/>
        <v>0.36755139857434144</v>
      </c>
      <c r="AI43" s="25">
        <f t="shared" si="4"/>
        <v>30.75</v>
      </c>
      <c r="AJ43" s="25">
        <f t="shared" si="5"/>
        <v>123.59822377631654</v>
      </c>
      <c r="AK43" s="25">
        <f t="shared" si="25"/>
        <v>124.229</v>
      </c>
      <c r="AL43" s="25">
        <f t="shared" si="26"/>
        <v>124.53489999999999</v>
      </c>
      <c r="AM43" s="25">
        <f t="shared" si="27"/>
        <v>124.6349</v>
      </c>
      <c r="AN43" s="25">
        <f t="shared" si="28"/>
        <v>124.8584</v>
      </c>
    </row>
    <row r="44" spans="1:40" s="25" customFormat="1" ht="14.5" customHeight="1" x14ac:dyDescent="0.35">
      <c r="A44" s="29" t="s">
        <v>83</v>
      </c>
      <c r="B44" s="29">
        <v>31</v>
      </c>
      <c r="C44" s="29">
        <v>1</v>
      </c>
      <c r="D44" s="29">
        <f t="shared" si="0"/>
        <v>31.083333333333332</v>
      </c>
      <c r="E44" s="2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5">
        <f t="shared" si="20"/>
        <v>31.083333333333332</v>
      </c>
      <c r="Q44" s="12">
        <f>Q42+((Q48-Q42)*(($D44-$D42)/($D48-$D42)))</f>
        <v>123.58522377631654</v>
      </c>
      <c r="T44" s="12">
        <f>T38+((T47-T38)*(($D44-$D38)/($D47-$D38)))</f>
        <v>124.0275293318721</v>
      </c>
      <c r="U44" s="12">
        <f t="shared" si="21"/>
        <v>0.40236013980216256</v>
      </c>
      <c r="X44" s="12">
        <f>X40+((X47-X40)*(($D44-$D40)/($D47-$D40)))</f>
        <v>124.44296636890914</v>
      </c>
      <c r="Y44" s="12">
        <f t="shared" si="22"/>
        <v>0.59354763980215886</v>
      </c>
      <c r="Z44" s="25">
        <v>1.2</v>
      </c>
      <c r="AA44" s="25">
        <v>-0.32</v>
      </c>
      <c r="AB44" s="29">
        <f>$Q44+Z44</f>
        <v>124.78522377631654</v>
      </c>
      <c r="AC44" s="12">
        <f t="shared" si="23"/>
        <v>0.65604763980216418</v>
      </c>
      <c r="AF44" s="12">
        <f>AF40+((AF47-AF40)*(($D44-$D40)/($D47-$D40)))</f>
        <v>124.81118859113135</v>
      </c>
      <c r="AG44" s="12">
        <f t="shared" si="24"/>
        <v>0.79573513980216504</v>
      </c>
      <c r="AI44" s="25">
        <f t="shared" si="4"/>
        <v>31.083333333333332</v>
      </c>
      <c r="AJ44" s="25">
        <f t="shared" si="5"/>
        <v>123.58522377631654</v>
      </c>
      <c r="AK44" s="25">
        <f t="shared" si="25"/>
        <v>124.229</v>
      </c>
      <c r="AL44" s="25">
        <f t="shared" si="26"/>
        <v>124.53489999999999</v>
      </c>
      <c r="AM44" s="25">
        <f t="shared" si="27"/>
        <v>124.6349</v>
      </c>
      <c r="AN44" s="25">
        <f t="shared" si="28"/>
        <v>124.8584</v>
      </c>
    </row>
    <row r="45" spans="1:40" s="25" customFormat="1" ht="14.5" customHeight="1" x14ac:dyDescent="0.35">
      <c r="A45" s="29" t="s">
        <v>83</v>
      </c>
      <c r="B45" s="29">
        <v>32</v>
      </c>
      <c r="C45" s="29">
        <v>0</v>
      </c>
      <c r="D45" s="29">
        <f t="shared" si="0"/>
        <v>32</v>
      </c>
      <c r="E45" s="29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5">
        <f t="shared" si="20"/>
        <v>32</v>
      </c>
      <c r="Q45" s="12">
        <f>Q42+((Q48-Q42)*(($D45-$D42)/($D48-$D42)))</f>
        <v>123.54947377631655</v>
      </c>
      <c r="T45" s="12">
        <f>T38+((T47-T38)*(($D45-$D38)/($D47-$D38)))</f>
        <v>124.01225155409432</v>
      </c>
      <c r="U45" s="12">
        <f t="shared" si="21"/>
        <v>0.53795826041606665</v>
      </c>
      <c r="X45" s="12">
        <f>X40+((X47-X40)*(($D45-$D40)/($D47-$D40)))</f>
        <v>124.3654367392795</v>
      </c>
      <c r="Y45" s="12">
        <f t="shared" si="22"/>
        <v>0.7801290937493951</v>
      </c>
      <c r="Z45" s="25">
        <v>0.96</v>
      </c>
      <c r="AB45" s="29">
        <f>$Q45+Z45</f>
        <v>124.50947377631654</v>
      </c>
      <c r="AC45" s="12">
        <f t="shared" si="23"/>
        <v>0.85929576041606848</v>
      </c>
      <c r="AF45" s="12">
        <f>AF40+((AF47-AF40)*(($D45-$D40)/($D47-$D40)))</f>
        <v>124.71654785039063</v>
      </c>
      <c r="AG45" s="12">
        <f t="shared" si="24"/>
        <v>1.0362332604160696</v>
      </c>
      <c r="AI45" s="25">
        <f t="shared" si="4"/>
        <v>32</v>
      </c>
      <c r="AJ45" s="25">
        <f t="shared" si="5"/>
        <v>123.54947377631655</v>
      </c>
      <c r="AK45" s="25">
        <f t="shared" si="25"/>
        <v>124.229</v>
      </c>
      <c r="AL45" s="25">
        <f t="shared" si="26"/>
        <v>124.53489999999999</v>
      </c>
      <c r="AM45" s="25">
        <f t="shared" si="27"/>
        <v>124.6349</v>
      </c>
      <c r="AN45" s="25">
        <f t="shared" si="28"/>
        <v>124.8584</v>
      </c>
    </row>
    <row r="46" spans="1:40" s="25" customFormat="1" ht="14.5" customHeight="1" x14ac:dyDescent="0.35">
      <c r="A46" s="29" t="s">
        <v>83</v>
      </c>
      <c r="B46" s="29">
        <v>32</v>
      </c>
      <c r="C46" s="29">
        <v>8</v>
      </c>
      <c r="D46" s="29">
        <f t="shared" si="0"/>
        <v>32.666666666666664</v>
      </c>
      <c r="E46" s="2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5">
        <f t="shared" si="20"/>
        <v>32.666666666666664</v>
      </c>
      <c r="Q46" s="12">
        <f>Q42+((Q48-Q42)*(($D46-$D42)/($D48-$D42)))</f>
        <v>123.52347377631655</v>
      </c>
      <c r="T46" s="12">
        <f>T38+((T47-T38)*(($D46-$D38)/($D47-$D38)))</f>
        <v>124.00114044298321</v>
      </c>
      <c r="U46" s="12">
        <f t="shared" si="21"/>
        <v>0.58793851973620703</v>
      </c>
      <c r="X46" s="12">
        <f>X40+((X47-X40)*(($D46-$D40)/($D47-$D40)))</f>
        <v>124.30905155409432</v>
      </c>
      <c r="Y46" s="12">
        <f t="shared" si="22"/>
        <v>0.84285518640286838</v>
      </c>
      <c r="Z46" s="25">
        <v>0.98</v>
      </c>
      <c r="AA46" s="25">
        <v>1.47</v>
      </c>
      <c r="AB46" s="29">
        <f>$Q46+Z46</f>
        <v>124.50347377631655</v>
      </c>
      <c r="AC46" s="12">
        <f t="shared" si="23"/>
        <v>0.92618851973620864</v>
      </c>
      <c r="AF46" s="12">
        <f>AF40+((AF47-AF40)*(($D46-$D40)/($D47-$D40)))</f>
        <v>124.64771822076099</v>
      </c>
      <c r="AG46" s="12">
        <f t="shared" si="24"/>
        <v>1.1124385197362097</v>
      </c>
      <c r="AI46" s="25">
        <f t="shared" si="4"/>
        <v>32.666666666666664</v>
      </c>
      <c r="AJ46" s="25">
        <f t="shared" si="5"/>
        <v>123.52347377631655</v>
      </c>
      <c r="AK46" s="25">
        <f t="shared" si="25"/>
        <v>124.229</v>
      </c>
      <c r="AL46" s="25">
        <f t="shared" si="26"/>
        <v>124.53489999999999</v>
      </c>
      <c r="AM46" s="25">
        <f t="shared" si="27"/>
        <v>124.6349</v>
      </c>
      <c r="AN46" s="25">
        <f t="shared" si="28"/>
        <v>124.8584</v>
      </c>
    </row>
    <row r="47" spans="1:40" s="25" customFormat="1" ht="14.5" customHeight="1" x14ac:dyDescent="0.35">
      <c r="A47" s="29" t="s">
        <v>85</v>
      </c>
      <c r="B47" s="29">
        <v>33</v>
      </c>
      <c r="C47" s="29">
        <v>8</v>
      </c>
      <c r="D47" s="29">
        <f t="shared" si="0"/>
        <v>33.666666666666664</v>
      </c>
      <c r="E47" s="29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5">
        <f t="shared" si="20"/>
        <v>33.666666666666664</v>
      </c>
      <c r="Q47" s="12">
        <f>Q42+((Q48-Q42)*(($D47-$D42)/($D48-$D42)))</f>
        <v>123.48447377631655</v>
      </c>
      <c r="R47" s="25">
        <v>0.5</v>
      </c>
      <c r="S47" s="25">
        <v>0.65</v>
      </c>
      <c r="T47" s="29">
        <f>$Q47+R47</f>
        <v>123.98447377631655</v>
      </c>
      <c r="U47" s="12">
        <f t="shared" si="21"/>
        <v>0.43430696381534811</v>
      </c>
      <c r="V47" s="25">
        <v>0.74</v>
      </c>
      <c r="W47" s="25">
        <v>0.93</v>
      </c>
      <c r="X47" s="29">
        <f>$Q47+V47</f>
        <v>124.22447377631654</v>
      </c>
      <c r="Y47" s="12">
        <f t="shared" si="22"/>
        <v>0.612748630482012</v>
      </c>
      <c r="AB47" s="12">
        <f>AB46+((AB49-AB46)*(($D47-$D46)/($D49-$D46)))</f>
        <v>124.54573303557581</v>
      </c>
      <c r="AC47" s="12">
        <f t="shared" si="23"/>
        <v>0.67108196381535057</v>
      </c>
      <c r="AD47" s="25">
        <v>1.06</v>
      </c>
      <c r="AE47" s="25">
        <v>0.3</v>
      </c>
      <c r="AF47" s="29">
        <f>$Q47+AD47</f>
        <v>124.54447377631655</v>
      </c>
      <c r="AG47" s="12">
        <f t="shared" si="24"/>
        <v>0.80145696381535192</v>
      </c>
      <c r="AI47" s="25">
        <f t="shared" si="4"/>
        <v>33.666666666666664</v>
      </c>
      <c r="AJ47" s="25">
        <f t="shared" si="5"/>
        <v>123.48447377631655</v>
      </c>
      <c r="AK47" s="25">
        <f t="shared" si="25"/>
        <v>124.229</v>
      </c>
      <c r="AL47" s="25">
        <f t="shared" si="26"/>
        <v>124.53489999999999</v>
      </c>
      <c r="AM47" s="25">
        <f t="shared" si="27"/>
        <v>124.6349</v>
      </c>
      <c r="AN47" s="25">
        <f t="shared" si="28"/>
        <v>124.8584</v>
      </c>
    </row>
    <row r="48" spans="1:40" s="25" customFormat="1" ht="14.5" customHeight="1" x14ac:dyDescent="0.35">
      <c r="A48" s="29" t="s">
        <v>67</v>
      </c>
      <c r="B48" s="29">
        <v>33</v>
      </c>
      <c r="C48" s="29">
        <v>10</v>
      </c>
      <c r="D48" s="29">
        <f t="shared" si="0"/>
        <v>33.833333333333336</v>
      </c>
      <c r="E48" s="29">
        <v>7.11</v>
      </c>
      <c r="F48" s="30"/>
      <c r="G48" s="30"/>
      <c r="H48" s="30"/>
      <c r="I48" s="30">
        <v>1</v>
      </c>
      <c r="J48" s="30"/>
      <c r="K48" s="30"/>
      <c r="L48" s="30"/>
      <c r="M48" s="30"/>
      <c r="N48" s="30"/>
      <c r="O48" s="30">
        <f t="shared" ref="O48" si="33">SUM(F48:N48)</f>
        <v>1</v>
      </c>
      <c r="P48" s="25">
        <f t="shared" si="20"/>
        <v>33.833333333333336</v>
      </c>
      <c r="Q48" s="25">
        <f>$B$64-E48</f>
        <v>123.47797377631655</v>
      </c>
      <c r="T48" s="12">
        <f>T47+((T50-T47)*(($D48-$D47)/($D50-$D47)))</f>
        <v>123.96118210964988</v>
      </c>
      <c r="U48" s="12">
        <f t="shared" si="21"/>
        <v>0.18775655592086338</v>
      </c>
      <c r="X48" s="12">
        <f>X47+((X52-X47)*(($D48-$D47)/($D52-$D47)))</f>
        <v>124.23382377631654</v>
      </c>
      <c r="Y48" s="12">
        <f t="shared" si="22"/>
        <v>0.26423155592086189</v>
      </c>
      <c r="AB48" s="12">
        <f>AB46+((AB49-AB46)*(($D48-$D46)/($D49-$D46)))</f>
        <v>124.55277624545235</v>
      </c>
      <c r="AC48" s="12">
        <f t="shared" si="23"/>
        <v>0.28923155592086403</v>
      </c>
      <c r="AF48" s="12">
        <f>AF47+((AF52-AF47)*(($D48-$D47)/($D52-$D47)))</f>
        <v>124.57182377631655</v>
      </c>
      <c r="AG48" s="12">
        <f t="shared" si="24"/>
        <v>0.34510655592086437</v>
      </c>
      <c r="AI48" s="25">
        <f t="shared" si="4"/>
        <v>33.833333333333336</v>
      </c>
      <c r="AJ48" s="25">
        <f t="shared" si="5"/>
        <v>123.47797377631655</v>
      </c>
      <c r="AK48" s="25">
        <f t="shared" si="25"/>
        <v>124.229</v>
      </c>
      <c r="AL48" s="25">
        <f t="shared" si="26"/>
        <v>124.53489999999999</v>
      </c>
      <c r="AM48" s="25">
        <f t="shared" si="27"/>
        <v>124.6349</v>
      </c>
      <c r="AN48" s="25">
        <f t="shared" si="28"/>
        <v>124.8584</v>
      </c>
    </row>
    <row r="49" spans="1:40" s="25" customFormat="1" ht="14.5" customHeight="1" x14ac:dyDescent="0.35">
      <c r="A49" s="29" t="s">
        <v>83</v>
      </c>
      <c r="B49" s="29">
        <v>34</v>
      </c>
      <c r="C49" s="29">
        <v>2</v>
      </c>
      <c r="D49" s="29">
        <f t="shared" si="0"/>
        <v>34.166666666666664</v>
      </c>
      <c r="E49" s="29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5">
        <f t="shared" si="20"/>
        <v>34.166666666666664</v>
      </c>
      <c r="Q49" s="12">
        <f>Q48+((Q52-Q48)*(($D49-$D48)/($D52-$D48)))</f>
        <v>123.48686266520544</v>
      </c>
      <c r="T49" s="12">
        <f>T47+((T50-T47)*(($D49-$D47)/($D50-$D47)))</f>
        <v>123.91459877631655</v>
      </c>
      <c r="U49" s="12">
        <f t="shared" si="21"/>
        <v>0.18553433369864081</v>
      </c>
      <c r="X49" s="12">
        <f>X47+((X52-X47)*(($D49-$D47)/($D52-$D47)))</f>
        <v>124.25252377631655</v>
      </c>
      <c r="Y49" s="12">
        <f t="shared" si="22"/>
        <v>0.26200933369863932</v>
      </c>
      <c r="Z49" s="25">
        <v>1.08</v>
      </c>
      <c r="AB49" s="29">
        <f>$Q49+Z49</f>
        <v>124.56686266520543</v>
      </c>
      <c r="AC49" s="12">
        <f t="shared" si="23"/>
        <v>0.28700933369864146</v>
      </c>
      <c r="AF49" s="12">
        <f>AF47+((AF52-AF47)*(($D49-$D47)/($D52-$D47)))</f>
        <v>124.62652377631655</v>
      </c>
      <c r="AG49" s="12">
        <f t="shared" si="24"/>
        <v>0.3428843336986418</v>
      </c>
      <c r="AI49" s="25">
        <f t="shared" si="4"/>
        <v>34.166666666666664</v>
      </c>
      <c r="AJ49" s="25">
        <f t="shared" si="5"/>
        <v>123.48686266520544</v>
      </c>
      <c r="AK49" s="25">
        <f t="shared" si="25"/>
        <v>124.229</v>
      </c>
      <c r="AL49" s="25">
        <f t="shared" si="26"/>
        <v>124.53489999999999</v>
      </c>
      <c r="AM49" s="25">
        <f t="shared" si="27"/>
        <v>124.6349</v>
      </c>
      <c r="AN49" s="25">
        <f t="shared" si="28"/>
        <v>124.8584</v>
      </c>
    </row>
    <row r="50" spans="1:40" s="25" customFormat="1" ht="14.5" customHeight="1" x14ac:dyDescent="0.35">
      <c r="A50" s="29" t="s">
        <v>68</v>
      </c>
      <c r="B50" s="29">
        <v>34</v>
      </c>
      <c r="C50" s="29">
        <v>4</v>
      </c>
      <c r="D50" s="29">
        <f t="shared" si="0"/>
        <v>34.333333333333336</v>
      </c>
      <c r="E50" s="29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5">
        <f t="shared" si="20"/>
        <v>34.333333333333336</v>
      </c>
      <c r="Q50" s="12">
        <f>Q48+((Q52-Q48)*(($D50-$D48)/($D52-$D48)))</f>
        <v>123.49130710964988</v>
      </c>
      <c r="R50" s="25">
        <v>0.4</v>
      </c>
      <c r="T50" s="29">
        <f>$Q50+R50</f>
        <v>123.89130710964989</v>
      </c>
      <c r="U50" s="12">
        <f t="shared" si="21"/>
        <v>0.39958364893964815</v>
      </c>
      <c r="X50" s="12">
        <f>X47+((X52-X47)*(($D50-$D47)/($D52-$D47)))</f>
        <v>124.26187377631655</v>
      </c>
      <c r="Y50" s="12">
        <f t="shared" si="22"/>
        <v>0.56527948227297864</v>
      </c>
      <c r="AB50" s="12">
        <f>AB49+((AB51-AB49)*(($D50-$D49)/($D51-$D49)))</f>
        <v>124.56515326349603</v>
      </c>
      <c r="AC50" s="12">
        <f t="shared" si="23"/>
        <v>0.61944614893965011</v>
      </c>
      <c r="AF50" s="12">
        <f>AF47+((AF52-AF47)*(($D50-$D47)/($D52-$D47)))</f>
        <v>124.65387377631654</v>
      </c>
      <c r="AG50" s="12">
        <f t="shared" si="24"/>
        <v>0.74050864893965107</v>
      </c>
      <c r="AI50" s="25">
        <f t="shared" si="4"/>
        <v>34.333333333333336</v>
      </c>
      <c r="AJ50" s="25">
        <f t="shared" si="5"/>
        <v>123.49130710964988</v>
      </c>
      <c r="AK50" s="25">
        <f t="shared" si="25"/>
        <v>124.229</v>
      </c>
      <c r="AL50" s="25">
        <f t="shared" si="26"/>
        <v>124.53489999999999</v>
      </c>
      <c r="AM50" s="25">
        <f t="shared" si="27"/>
        <v>124.6349</v>
      </c>
      <c r="AN50" s="25">
        <f t="shared" si="28"/>
        <v>124.8584</v>
      </c>
    </row>
    <row r="51" spans="1:40" s="25" customFormat="1" ht="14.5" customHeight="1" x14ac:dyDescent="0.35">
      <c r="A51" s="29" t="s">
        <v>83</v>
      </c>
      <c r="B51" s="29">
        <v>35</v>
      </c>
      <c r="C51" s="29">
        <v>3</v>
      </c>
      <c r="D51" s="29">
        <f t="shared" si="0"/>
        <v>35.25</v>
      </c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5">
        <f t="shared" si="20"/>
        <v>35.25</v>
      </c>
      <c r="Q51" s="12">
        <f>Q48+((Q52-Q48)*(($D51-$D48)/($D52-$D48)))</f>
        <v>123.51575155409432</v>
      </c>
      <c r="T51" s="29">
        <v>123.66260710964988</v>
      </c>
      <c r="U51" s="12">
        <f t="shared" si="21"/>
        <v>0.35662422295283847</v>
      </c>
      <c r="X51" s="12">
        <f>X47+((X52-X47)*(($D51-$D47)/($D52-$D47)))</f>
        <v>124.31329877631654</v>
      </c>
      <c r="Y51" s="12">
        <f t="shared" si="22"/>
        <v>0.5095742229528355</v>
      </c>
      <c r="Z51" s="25">
        <v>1.04</v>
      </c>
      <c r="AA51" s="25">
        <v>-0.1</v>
      </c>
      <c r="AB51" s="29">
        <f>$Q51+Z51</f>
        <v>124.55575155409433</v>
      </c>
      <c r="AC51" s="12">
        <f t="shared" si="23"/>
        <v>0.55957422295283976</v>
      </c>
      <c r="AF51" s="12">
        <f>AF47+((AF52-AF47)*(($D51-$D47)/($D52-$D47)))</f>
        <v>124.80429877631654</v>
      </c>
      <c r="AG51" s="12">
        <f t="shared" si="24"/>
        <v>0.67132422295284044</v>
      </c>
      <c r="AI51" s="25">
        <f t="shared" si="4"/>
        <v>35.25</v>
      </c>
      <c r="AJ51" s="25">
        <f t="shared" si="5"/>
        <v>123.51575155409432</v>
      </c>
      <c r="AK51" s="25">
        <f t="shared" si="25"/>
        <v>124.229</v>
      </c>
      <c r="AL51" s="25">
        <f t="shared" si="26"/>
        <v>124.53489999999999</v>
      </c>
      <c r="AM51" s="25">
        <f t="shared" si="27"/>
        <v>124.6349</v>
      </c>
      <c r="AN51" s="25">
        <f t="shared" si="28"/>
        <v>124.8584</v>
      </c>
    </row>
    <row r="52" spans="1:40" s="25" customFormat="1" ht="14.5" customHeight="1" x14ac:dyDescent="0.35">
      <c r="A52" s="29" t="s">
        <v>86</v>
      </c>
      <c r="B52" s="29">
        <v>35</v>
      </c>
      <c r="C52" s="29">
        <v>4</v>
      </c>
      <c r="D52" s="29">
        <f t="shared" si="0"/>
        <v>35.333333333333336</v>
      </c>
      <c r="E52" s="29">
        <v>7.07</v>
      </c>
      <c r="F52" s="30"/>
      <c r="G52" s="30"/>
      <c r="H52" s="30"/>
      <c r="I52" s="30"/>
      <c r="J52" s="30"/>
      <c r="K52" s="30">
        <v>1</v>
      </c>
      <c r="L52" s="30"/>
      <c r="M52" s="30"/>
      <c r="N52" s="30"/>
      <c r="O52" s="30">
        <f t="shared" ref="O52:O53" si="34">SUM(F52:N52)</f>
        <v>1</v>
      </c>
      <c r="P52" s="25">
        <f t="shared" si="20"/>
        <v>35.333333333333336</v>
      </c>
      <c r="Q52" s="25">
        <f>$B$64-E52</f>
        <v>123.51797377631655</v>
      </c>
      <c r="T52" s="29">
        <v>123.66260710964988</v>
      </c>
      <c r="U52" s="12">
        <f t="shared" si="21"/>
        <v>0.38513920449520145</v>
      </c>
      <c r="V52" s="25">
        <v>0.8</v>
      </c>
      <c r="W52" s="25">
        <v>-0.27</v>
      </c>
      <c r="X52" s="29">
        <f>$Q52+V52</f>
        <v>124.31797377631655</v>
      </c>
      <c r="Y52" s="12">
        <f t="shared" si="22"/>
        <v>0.55083503782853194</v>
      </c>
      <c r="AB52" s="12">
        <f>AB51+((AB54-AB51)*(($D52-$D51)/($D54-$D51)))</f>
        <v>124.5668924271102</v>
      </c>
      <c r="AC52" s="12">
        <f t="shared" si="23"/>
        <v>0.6050017044952033</v>
      </c>
      <c r="AD52" s="25">
        <v>1.3</v>
      </c>
      <c r="AE52" s="25">
        <v>0.41</v>
      </c>
      <c r="AF52" s="29">
        <f>$Q52+AD52</f>
        <v>124.81797377631655</v>
      </c>
      <c r="AG52" s="12">
        <f t="shared" si="24"/>
        <v>0.72606420449520437</v>
      </c>
      <c r="AI52" s="25">
        <f t="shared" si="4"/>
        <v>35.333333333333336</v>
      </c>
      <c r="AJ52" s="25">
        <f t="shared" si="5"/>
        <v>123.51797377631655</v>
      </c>
      <c r="AK52" s="25">
        <f t="shared" si="25"/>
        <v>124.229</v>
      </c>
      <c r="AL52" s="25">
        <f t="shared" si="26"/>
        <v>124.53489999999999</v>
      </c>
      <c r="AM52" s="25">
        <f t="shared" si="27"/>
        <v>124.6349</v>
      </c>
      <c r="AN52" s="25">
        <f t="shared" si="28"/>
        <v>124.8584</v>
      </c>
    </row>
    <row r="53" spans="1:40" s="25" customFormat="1" ht="14.5" customHeight="1" x14ac:dyDescent="0.35">
      <c r="A53" s="29" t="s">
        <v>67</v>
      </c>
      <c r="B53" s="29">
        <v>36</v>
      </c>
      <c r="C53" s="29">
        <v>4</v>
      </c>
      <c r="D53" s="29">
        <f t="shared" si="0"/>
        <v>36.333333333333336</v>
      </c>
      <c r="E53" s="29">
        <v>6.8</v>
      </c>
      <c r="F53" s="30"/>
      <c r="G53" s="30">
        <v>1</v>
      </c>
      <c r="H53" s="30"/>
      <c r="I53" s="30"/>
      <c r="J53" s="30"/>
      <c r="K53" s="30"/>
      <c r="L53" s="30"/>
      <c r="M53" s="30"/>
      <c r="N53" s="30"/>
      <c r="O53" s="30">
        <f t="shared" si="34"/>
        <v>1</v>
      </c>
      <c r="P53" s="25">
        <f t="shared" si="20"/>
        <v>36.333333333333336</v>
      </c>
      <c r="Q53" s="25">
        <f>$B$64-E53</f>
        <v>123.78797377631655</v>
      </c>
      <c r="T53" s="29">
        <v>123.66260710964988</v>
      </c>
      <c r="U53" s="12">
        <f t="shared" si="21"/>
        <v>0.23888920449520171</v>
      </c>
      <c r="X53" s="12">
        <f>X52+((X55-X52)*(($D53-$D52)/($D55-$D52)))</f>
        <v>124.78630710964988</v>
      </c>
      <c r="Y53" s="12">
        <f t="shared" si="22"/>
        <v>0.40458503782853111</v>
      </c>
      <c r="AB53" s="12">
        <f>AB51+((AB54-AB51)*(($D53-$D51)/($D54-$D51)))</f>
        <v>124.70058290330067</v>
      </c>
      <c r="AC53" s="12">
        <f t="shared" si="23"/>
        <v>0.45875170449520214</v>
      </c>
      <c r="AF53" s="25">
        <v>124.81797377631655</v>
      </c>
      <c r="AG53" s="12">
        <f t="shared" si="24"/>
        <v>0.57981420449520238</v>
      </c>
      <c r="AI53" s="25">
        <f t="shared" si="4"/>
        <v>36.333333333333336</v>
      </c>
      <c r="AJ53" s="25">
        <f t="shared" si="5"/>
        <v>123.78797377631655</v>
      </c>
      <c r="AK53" s="25">
        <f t="shared" si="25"/>
        <v>124.229</v>
      </c>
      <c r="AL53" s="25">
        <f t="shared" si="26"/>
        <v>124.53489999999999</v>
      </c>
      <c r="AM53" s="25">
        <f t="shared" si="27"/>
        <v>124.6349</v>
      </c>
      <c r="AN53" s="25">
        <f t="shared" si="28"/>
        <v>124.8584</v>
      </c>
    </row>
    <row r="54" spans="1:40" s="25" customFormat="1" ht="14.5" customHeight="1" x14ac:dyDescent="0.35">
      <c r="A54" s="29" t="s">
        <v>83</v>
      </c>
      <c r="B54" s="29">
        <v>36</v>
      </c>
      <c r="C54" s="29">
        <v>5</v>
      </c>
      <c r="D54" s="29">
        <f t="shared" si="0"/>
        <v>36.416666666666664</v>
      </c>
      <c r="E54" s="29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5">
        <f t="shared" si="20"/>
        <v>36.416666666666664</v>
      </c>
      <c r="Q54" s="12">
        <f>Q53+((Q56-Q53)*(($D54-$D53)/($D56-$D53)))</f>
        <v>123.93172377631655</v>
      </c>
      <c r="T54" s="29">
        <v>123.66260710964988</v>
      </c>
      <c r="U54" s="12">
        <f t="shared" si="21"/>
        <v>7.4319055920863519E-2</v>
      </c>
      <c r="X54" s="12">
        <f>X52+((X55-X52)*(($D54-$D52)/($D55-$D52)))</f>
        <v>124.82533488742766</v>
      </c>
      <c r="Y54" s="12">
        <f t="shared" si="22"/>
        <v>0.15079405592086204</v>
      </c>
      <c r="Z54" s="25">
        <v>0.78</v>
      </c>
      <c r="AB54" s="29">
        <f>$Q54+Z54</f>
        <v>124.71172377631655</v>
      </c>
      <c r="AC54" s="12">
        <f t="shared" si="23"/>
        <v>0.17579405592086417</v>
      </c>
      <c r="AF54" s="25">
        <v>124.81797377631655</v>
      </c>
      <c r="AG54" s="12">
        <f t="shared" si="24"/>
        <v>0.23166905592086451</v>
      </c>
      <c r="AI54" s="25">
        <f t="shared" si="4"/>
        <v>36.416666666666664</v>
      </c>
      <c r="AJ54" s="25">
        <f t="shared" si="5"/>
        <v>123.93172377631655</v>
      </c>
      <c r="AK54" s="25">
        <f t="shared" si="25"/>
        <v>124.229</v>
      </c>
      <c r="AL54" s="25">
        <f t="shared" si="26"/>
        <v>124.53489999999999</v>
      </c>
      <c r="AM54" s="25">
        <f t="shared" si="27"/>
        <v>124.6349</v>
      </c>
      <c r="AN54" s="25">
        <f t="shared" si="28"/>
        <v>124.8584</v>
      </c>
    </row>
    <row r="55" spans="1:40" s="25" customFormat="1" ht="14.5" customHeight="1" x14ac:dyDescent="0.35">
      <c r="A55" s="29" t="s">
        <v>72</v>
      </c>
      <c r="B55" s="29">
        <v>36</v>
      </c>
      <c r="C55" s="29">
        <v>10</v>
      </c>
      <c r="D55" s="29">
        <f t="shared" si="0"/>
        <v>36.833333333333336</v>
      </c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5">
        <f t="shared" si="20"/>
        <v>36.833333333333336</v>
      </c>
      <c r="Q55" s="12">
        <f>Q53+((Q56-Q53)*(($D55-$D53)/($D56-$D53)))</f>
        <v>124.65047377631655</v>
      </c>
      <c r="U55" s="12"/>
      <c r="V55" s="25">
        <v>0.37</v>
      </c>
      <c r="X55" s="29">
        <f>$Q55+V55</f>
        <v>125.02047377631655</v>
      </c>
      <c r="Y55" s="12">
        <f t="shared" si="22"/>
        <v>-3.3709018092327764E-2</v>
      </c>
      <c r="AB55" s="25">
        <v>124.71172377631655</v>
      </c>
      <c r="AC55" s="12">
        <f t="shared" si="23"/>
        <v>-4.5423514256584903E-3</v>
      </c>
      <c r="AF55" s="25">
        <v>124.81797377631655</v>
      </c>
      <c r="AG55" s="12">
        <f t="shared" si="24"/>
        <v>6.0645148574342174E-2</v>
      </c>
      <c r="AI55" s="25">
        <f t="shared" si="4"/>
        <v>36.833333333333336</v>
      </c>
      <c r="AJ55" s="25">
        <f t="shared" si="5"/>
        <v>124.65047377631655</v>
      </c>
      <c r="AL55" s="25">
        <f t="shared" si="26"/>
        <v>124.53489999999999</v>
      </c>
      <c r="AM55" s="25">
        <f t="shared" si="27"/>
        <v>124.6349</v>
      </c>
      <c r="AN55" s="25">
        <f t="shared" si="28"/>
        <v>124.8584</v>
      </c>
    </row>
    <row r="56" spans="1:40" s="25" customFormat="1" ht="14.5" customHeight="1" x14ac:dyDescent="0.35">
      <c r="A56" s="29" t="s">
        <v>148</v>
      </c>
      <c r="B56" s="29">
        <v>37</v>
      </c>
      <c r="C56" s="29">
        <v>0</v>
      </c>
      <c r="D56" s="29">
        <f t="shared" si="0"/>
        <v>37</v>
      </c>
      <c r="E56" s="29">
        <v>5.65</v>
      </c>
      <c r="F56" s="30"/>
      <c r="G56" s="30">
        <v>0.5</v>
      </c>
      <c r="H56" s="30"/>
      <c r="I56" s="30"/>
      <c r="J56" s="30"/>
      <c r="K56" s="30">
        <v>0.5</v>
      </c>
      <c r="L56" s="30"/>
      <c r="M56" s="30"/>
      <c r="N56" s="30"/>
      <c r="O56" s="30">
        <f t="shared" ref="O56:O60" si="35">SUM(F56:N56)</f>
        <v>1</v>
      </c>
      <c r="P56" s="25">
        <f>D56</f>
        <v>37</v>
      </c>
      <c r="Q56" s="25">
        <f>$B$64-E56</f>
        <v>124.93797377631654</v>
      </c>
      <c r="AI56" s="25">
        <f t="shared" si="4"/>
        <v>37</v>
      </c>
      <c r="AJ56" s="25">
        <f t="shared" si="5"/>
        <v>124.93797377631654</v>
      </c>
    </row>
    <row r="57" spans="1:40" s="25" customFormat="1" ht="14.5" customHeight="1" x14ac:dyDescent="0.35">
      <c r="A57" s="29" t="s">
        <v>67</v>
      </c>
      <c r="B57" s="29">
        <v>40</v>
      </c>
      <c r="C57" s="29">
        <v>4</v>
      </c>
      <c r="D57" s="29">
        <f t="shared" si="0"/>
        <v>40.333333333333336</v>
      </c>
      <c r="E57" s="29">
        <v>5.48</v>
      </c>
      <c r="F57" s="30"/>
      <c r="G57" s="30"/>
      <c r="H57" s="30"/>
      <c r="I57" s="30"/>
      <c r="J57" s="30"/>
      <c r="K57" s="30"/>
      <c r="L57" s="30"/>
      <c r="M57" s="30"/>
      <c r="N57" s="30">
        <v>1</v>
      </c>
      <c r="O57" s="30">
        <f t="shared" si="35"/>
        <v>1</v>
      </c>
      <c r="P57" s="25">
        <f>D57</f>
        <v>40.333333333333336</v>
      </c>
      <c r="Q57" s="25">
        <f>$B$64-E57</f>
        <v>125.10797377631654</v>
      </c>
      <c r="AI57" s="25">
        <f t="shared" si="4"/>
        <v>40.333333333333336</v>
      </c>
      <c r="AJ57" s="25">
        <f t="shared" si="5"/>
        <v>125.10797377631654</v>
      </c>
    </row>
    <row r="58" spans="1:40" s="25" customFormat="1" ht="14.5" customHeight="1" x14ac:dyDescent="0.35">
      <c r="A58" s="29" t="s">
        <v>67</v>
      </c>
      <c r="B58" s="29">
        <v>41</v>
      </c>
      <c r="C58" s="29">
        <v>6</v>
      </c>
      <c r="D58" s="29">
        <f t="shared" si="0"/>
        <v>41.5</v>
      </c>
      <c r="E58" s="29">
        <v>3.9</v>
      </c>
      <c r="F58" s="30"/>
      <c r="G58" s="30"/>
      <c r="H58" s="30"/>
      <c r="I58" s="30"/>
      <c r="J58" s="30"/>
      <c r="K58" s="30"/>
      <c r="L58" s="30"/>
      <c r="M58" s="30"/>
      <c r="N58" s="30">
        <v>1</v>
      </c>
      <c r="O58" s="30">
        <f t="shared" si="35"/>
        <v>1</v>
      </c>
      <c r="P58" s="25">
        <f>D58</f>
        <v>41.5</v>
      </c>
      <c r="Q58" s="25">
        <f>$B$64-E58</f>
        <v>126.68797377631654</v>
      </c>
      <c r="AI58" s="25">
        <f t="shared" si="4"/>
        <v>41.5</v>
      </c>
      <c r="AJ58" s="25">
        <f t="shared" si="5"/>
        <v>126.68797377631654</v>
      </c>
    </row>
    <row r="59" spans="1:40" s="25" customFormat="1" ht="14.5" customHeight="1" x14ac:dyDescent="0.35">
      <c r="A59" s="29" t="s">
        <v>67</v>
      </c>
      <c r="B59" s="29">
        <v>43</v>
      </c>
      <c r="C59" s="29">
        <v>5</v>
      </c>
      <c r="D59" s="29">
        <f t="shared" si="0"/>
        <v>43.416666666666664</v>
      </c>
      <c r="E59" s="29">
        <v>3.96</v>
      </c>
      <c r="F59" s="30"/>
      <c r="G59" s="30"/>
      <c r="H59" s="30"/>
      <c r="I59" s="30"/>
      <c r="J59" s="30"/>
      <c r="K59" s="30">
        <v>0.5</v>
      </c>
      <c r="L59" s="30"/>
      <c r="M59" s="30">
        <v>0.5</v>
      </c>
      <c r="N59" s="30"/>
      <c r="O59" s="30">
        <f t="shared" si="35"/>
        <v>1</v>
      </c>
      <c r="P59" s="25">
        <f>D59</f>
        <v>43.416666666666664</v>
      </c>
      <c r="Q59" s="25">
        <f>$B$64-E59</f>
        <v>126.62797377631655</v>
      </c>
      <c r="AI59" s="25">
        <f t="shared" si="4"/>
        <v>43.416666666666664</v>
      </c>
      <c r="AJ59" s="25">
        <f t="shared" si="5"/>
        <v>126.62797377631655</v>
      </c>
    </row>
    <row r="60" spans="1:40" s="25" customFormat="1" ht="14.5" customHeight="1" x14ac:dyDescent="0.35">
      <c r="A60" s="29" t="s">
        <v>153</v>
      </c>
      <c r="B60" s="29">
        <v>45</v>
      </c>
      <c r="C60" s="29">
        <v>10</v>
      </c>
      <c r="D60" s="29">
        <f t="shared" si="0"/>
        <v>45.833333333333336</v>
      </c>
      <c r="E60" s="29">
        <v>2.5299999999999998</v>
      </c>
      <c r="F60" s="30"/>
      <c r="G60" s="30"/>
      <c r="H60" s="30"/>
      <c r="I60" s="30"/>
      <c r="J60" s="30"/>
      <c r="K60" s="30"/>
      <c r="L60" s="30"/>
      <c r="M60" s="30"/>
      <c r="N60" s="30"/>
      <c r="O60" s="30">
        <f t="shared" si="35"/>
        <v>0</v>
      </c>
      <c r="P60" s="25">
        <f>D60</f>
        <v>45.833333333333336</v>
      </c>
      <c r="Q60" s="25">
        <f>$B$64-E60</f>
        <v>128.05797377631654</v>
      </c>
      <c r="AI60" s="25">
        <f t="shared" si="4"/>
        <v>45.833333333333336</v>
      </c>
      <c r="AJ60" s="25">
        <f t="shared" si="5"/>
        <v>128.05797377631654</v>
      </c>
    </row>
    <row r="62" spans="1:40" ht="14.5" customHeight="1" x14ac:dyDescent="0.35">
      <c r="A62" s="12" t="s">
        <v>55</v>
      </c>
      <c r="B62" s="29">
        <f>B64-B63</f>
        <v>126.31797377631655</v>
      </c>
      <c r="C62" s="12" t="s">
        <v>58</v>
      </c>
      <c r="D62" s="21" t="s">
        <v>164</v>
      </c>
      <c r="E62" s="21">
        <f>D55-D8</f>
        <v>21</v>
      </c>
      <c r="F62" s="21" t="s">
        <v>58</v>
      </c>
      <c r="H62" s="21" t="s">
        <v>176</v>
      </c>
      <c r="I62" s="21" t="s">
        <v>167</v>
      </c>
      <c r="J62" s="21" t="s">
        <v>168</v>
      </c>
      <c r="K62" s="21" t="s">
        <v>169</v>
      </c>
      <c r="L62" s="21" t="s">
        <v>170</v>
      </c>
      <c r="M62" s="21" t="s">
        <v>171</v>
      </c>
      <c r="N62" s="12" t="s">
        <v>179</v>
      </c>
      <c r="O62" s="12" t="s">
        <v>180</v>
      </c>
      <c r="P62" s="32" t="s">
        <v>181</v>
      </c>
    </row>
    <row r="63" spans="1:40" ht="14.5" customHeight="1" x14ac:dyDescent="0.35">
      <c r="A63" s="12" t="s">
        <v>57</v>
      </c>
      <c r="B63" s="29">
        <v>4.2699999999999996</v>
      </c>
      <c r="C63" s="12" t="s">
        <v>58</v>
      </c>
      <c r="G63" s="21" t="s">
        <v>166</v>
      </c>
      <c r="H63" s="18">
        <v>124.229</v>
      </c>
      <c r="I63" s="18">
        <v>17.166666666666668</v>
      </c>
      <c r="J63" s="18">
        <v>15.75</v>
      </c>
      <c r="K63" s="18">
        <v>7.5104166666666679</v>
      </c>
      <c r="L63" s="18">
        <v>6.4432291666666686</v>
      </c>
      <c r="M63" s="18">
        <v>0.47685185185185192</v>
      </c>
      <c r="N63" s="18">
        <v>0.85790568654646338</v>
      </c>
      <c r="O63" s="36">
        <v>0.81422924901185778</v>
      </c>
      <c r="P63" s="21">
        <v>0.8</v>
      </c>
    </row>
    <row r="64" spans="1:40" ht="14.5" customHeight="1" x14ac:dyDescent="0.35">
      <c r="A64" s="12" t="s">
        <v>59</v>
      </c>
      <c r="B64" s="29">
        <f>(B65-(D70-0.2287))+E13</f>
        <v>130.58797377631655</v>
      </c>
      <c r="C64" s="12" t="s">
        <v>58</v>
      </c>
      <c r="D64" s="29"/>
      <c r="G64" s="21" t="s">
        <v>172</v>
      </c>
      <c r="H64" s="18">
        <v>124.53489999999999</v>
      </c>
      <c r="I64" s="18">
        <v>17.750000000000004</v>
      </c>
      <c r="J64" s="18">
        <v>16.750000000000004</v>
      </c>
      <c r="K64" s="18">
        <v>12.530000000000003</v>
      </c>
      <c r="L64" s="18">
        <v>15.599158333333333</v>
      </c>
      <c r="M64" s="18">
        <v>0.74805970149253731</v>
      </c>
      <c r="N64" s="18">
        <v>1.2449447991487095</v>
      </c>
      <c r="O64" s="36">
        <v>0.84189723320158127</v>
      </c>
      <c r="P64" s="32">
        <v>0.95</v>
      </c>
    </row>
    <row r="65" spans="1:17" ht="14.5" customHeight="1" x14ac:dyDescent="0.35">
      <c r="A65" s="12" t="s">
        <v>146</v>
      </c>
      <c r="B65" s="29">
        <v>124.22927377631656</v>
      </c>
      <c r="C65" s="12" t="s">
        <v>147</v>
      </c>
      <c r="G65" s="21" t="s">
        <v>173</v>
      </c>
      <c r="H65" s="18">
        <v>124.6349</v>
      </c>
      <c r="I65" s="18">
        <v>20.249999999999996</v>
      </c>
      <c r="J65" s="18">
        <v>17.333333333333329</v>
      </c>
      <c r="K65" s="18">
        <v>14.329999999999997</v>
      </c>
      <c r="L65" s="18">
        <v>22.328404166666658</v>
      </c>
      <c r="M65" s="18">
        <v>0.82673076923076927</v>
      </c>
      <c r="N65" s="18">
        <v>1.5581580018608976</v>
      </c>
      <c r="O65" s="36">
        <v>0.96047430830039515</v>
      </c>
      <c r="P65" s="32">
        <v>1.23</v>
      </c>
      <c r="Q65" s="12"/>
    </row>
    <row r="66" spans="1:17" ht="14.5" customHeight="1" x14ac:dyDescent="0.35">
      <c r="G66" s="21" t="s">
        <v>174</v>
      </c>
      <c r="H66" s="18">
        <v>124.8584</v>
      </c>
      <c r="I66" s="18">
        <v>20.833333333333332</v>
      </c>
      <c r="J66" s="18">
        <v>17.916666666666664</v>
      </c>
      <c r="K66" s="18">
        <v>17.389166666666668</v>
      </c>
      <c r="L66" s="18">
        <v>27.516108333333342</v>
      </c>
      <c r="M66" s="18">
        <v>0.9705581395348839</v>
      </c>
      <c r="N66" s="18">
        <v>1.5823707289020945</v>
      </c>
      <c r="O66" s="36">
        <v>0.98814229249011853</v>
      </c>
      <c r="P66" s="32">
        <v>1.34</v>
      </c>
      <c r="Q66" s="12"/>
    </row>
    <row r="67" spans="1:17" s="26" customFormat="1" ht="14.5" customHeight="1" x14ac:dyDescent="0.35">
      <c r="K67" s="12"/>
      <c r="L67" s="12"/>
      <c r="M67" s="12"/>
      <c r="N67" s="12"/>
      <c r="O67" s="15"/>
      <c r="P67" s="12"/>
      <c r="Q67" s="12"/>
    </row>
    <row r="68" spans="1:17" ht="14.5" customHeight="1" x14ac:dyDescent="0.35">
      <c r="A68" s="12" t="s">
        <v>104</v>
      </c>
      <c r="B68" s="12"/>
      <c r="C68" s="17" t="s">
        <v>13</v>
      </c>
      <c r="D68" s="17" t="s">
        <v>29</v>
      </c>
      <c r="E68" s="12" t="s">
        <v>7</v>
      </c>
      <c r="F68" s="12" t="s">
        <v>3</v>
      </c>
      <c r="G68" s="12"/>
      <c r="H68" s="12" t="s">
        <v>96</v>
      </c>
      <c r="I68" s="12" t="s">
        <v>6</v>
      </c>
      <c r="J68" s="12" t="s">
        <v>94</v>
      </c>
      <c r="K68" s="12" t="s">
        <v>7</v>
      </c>
      <c r="L68" s="12" t="s">
        <v>95</v>
      </c>
      <c r="M68" s="25" t="s">
        <v>127</v>
      </c>
      <c r="O68" s="15"/>
      <c r="P68" s="12"/>
      <c r="Q68" s="12"/>
    </row>
    <row r="69" spans="1:17" ht="14.5" customHeight="1" x14ac:dyDescent="0.35">
      <c r="A69" s="21">
        <v>19</v>
      </c>
      <c r="B69" s="21">
        <v>1</v>
      </c>
      <c r="C69" s="21">
        <v>19.083333333333332</v>
      </c>
      <c r="D69" s="21">
        <v>0.8</v>
      </c>
      <c r="E69" s="21">
        <v>0.11</v>
      </c>
      <c r="H69" s="21">
        <f>C69</f>
        <v>19.083333333333332</v>
      </c>
      <c r="I69" s="21">
        <f>D69</f>
        <v>0.8</v>
      </c>
      <c r="J69" s="21">
        <f>((C70-C69)/2)*D69</f>
        <v>0.13333333333333428</v>
      </c>
      <c r="K69" s="21">
        <f>E69</f>
        <v>0.11</v>
      </c>
      <c r="L69" s="21">
        <f>J69*K69</f>
        <v>1.466666666666677E-2</v>
      </c>
      <c r="O69" s="15"/>
      <c r="P69" s="12"/>
      <c r="Q69" s="12"/>
    </row>
    <row r="70" spans="1:17" ht="14.5" customHeight="1" x14ac:dyDescent="0.35">
      <c r="A70" s="21">
        <v>19</v>
      </c>
      <c r="B70" s="21">
        <v>5</v>
      </c>
      <c r="C70" s="21">
        <v>19.416666666666668</v>
      </c>
      <c r="D70" s="21">
        <v>0.65</v>
      </c>
      <c r="E70" s="21">
        <v>0.15</v>
      </c>
      <c r="H70" s="25">
        <f t="shared" ref="H70:H87" si="36">C70</f>
        <v>19.416666666666668</v>
      </c>
      <c r="I70" s="25">
        <f t="shared" ref="I70:I86" si="37">D70</f>
        <v>0.65</v>
      </c>
      <c r="J70" s="21">
        <f>((C72-C69)/2)*D70</f>
        <v>0.46041666666666708</v>
      </c>
      <c r="K70" s="25">
        <f t="shared" ref="K70:K87" si="38">E70</f>
        <v>0.15</v>
      </c>
      <c r="L70" s="25">
        <f t="shared" ref="L70:L87" si="39">J70*K70</f>
        <v>6.9062500000000054E-2</v>
      </c>
      <c r="O70" s="15"/>
      <c r="P70" s="12"/>
      <c r="Q70" s="12"/>
    </row>
    <row r="71" spans="1:17" ht="14.5" customHeight="1" x14ac:dyDescent="0.35">
      <c r="A71" s="21">
        <v>20</v>
      </c>
      <c r="B71" s="21">
        <v>6</v>
      </c>
      <c r="C71" s="21">
        <v>20.5</v>
      </c>
      <c r="F71" s="21" t="s">
        <v>20</v>
      </c>
      <c r="H71" s="25">
        <f t="shared" si="36"/>
        <v>20.5</v>
      </c>
      <c r="I71" s="25"/>
      <c r="K71" s="25">
        <f t="shared" si="38"/>
        <v>0</v>
      </c>
      <c r="L71" s="25">
        <f t="shared" si="39"/>
        <v>0</v>
      </c>
      <c r="O71" s="15"/>
      <c r="P71" s="12"/>
      <c r="Q71" s="12"/>
    </row>
    <row r="72" spans="1:17" ht="14.5" customHeight="1" x14ac:dyDescent="0.35">
      <c r="A72" s="21">
        <v>20</v>
      </c>
      <c r="B72" s="21">
        <v>6</v>
      </c>
      <c r="C72" s="21">
        <v>20.5</v>
      </c>
      <c r="D72" s="21">
        <v>0.6</v>
      </c>
      <c r="E72" s="21">
        <v>0.15</v>
      </c>
      <c r="F72" s="21" t="s">
        <v>38</v>
      </c>
      <c r="H72" s="25">
        <f t="shared" si="36"/>
        <v>20.5</v>
      </c>
      <c r="I72" s="25">
        <f t="shared" si="37"/>
        <v>0.6</v>
      </c>
      <c r="J72" s="21">
        <f>((C72-C70)/2)*D72</f>
        <v>0.32499999999999962</v>
      </c>
      <c r="K72" s="25">
        <f t="shared" si="38"/>
        <v>0.15</v>
      </c>
      <c r="L72" s="25">
        <f t="shared" si="39"/>
        <v>4.8749999999999939E-2</v>
      </c>
      <c r="O72" s="15"/>
      <c r="P72" s="12"/>
      <c r="Q72" s="12"/>
    </row>
    <row r="73" spans="1:17" ht="14.5" customHeight="1" x14ac:dyDescent="0.35">
      <c r="A73" s="21">
        <v>22</v>
      </c>
      <c r="B73" s="21">
        <v>10</v>
      </c>
      <c r="C73" s="21">
        <v>22.833333333333332</v>
      </c>
      <c r="F73" s="21" t="s">
        <v>20</v>
      </c>
      <c r="H73" s="25">
        <f t="shared" si="36"/>
        <v>22.833333333333332</v>
      </c>
      <c r="I73" s="25"/>
      <c r="J73" s="21">
        <f>(C73-C72)*(D72/2)</f>
        <v>0.69999999999999962</v>
      </c>
      <c r="K73" s="25">
        <f t="shared" si="38"/>
        <v>0</v>
      </c>
      <c r="L73" s="25">
        <f t="shared" si="39"/>
        <v>0</v>
      </c>
      <c r="O73" s="15"/>
      <c r="P73" s="12"/>
      <c r="Q73" s="12"/>
    </row>
    <row r="74" spans="1:17" ht="14.5" customHeight="1" x14ac:dyDescent="0.35">
      <c r="A74" s="21">
        <v>23</v>
      </c>
      <c r="B74" s="21">
        <v>1</v>
      </c>
      <c r="C74" s="21">
        <v>23.083333333333332</v>
      </c>
      <c r="D74" s="21">
        <v>0.6</v>
      </c>
      <c r="E74" s="21">
        <v>2.84</v>
      </c>
      <c r="H74" s="25">
        <f t="shared" si="36"/>
        <v>23.083333333333332</v>
      </c>
      <c r="I74" s="25">
        <f t="shared" si="37"/>
        <v>0.6</v>
      </c>
      <c r="J74" s="21">
        <f>(C75-C73)*D74</f>
        <v>0.3</v>
      </c>
      <c r="K74" s="25">
        <f t="shared" si="38"/>
        <v>2.84</v>
      </c>
      <c r="L74" s="25">
        <f t="shared" si="39"/>
        <v>0.85199999999999998</v>
      </c>
      <c r="O74" s="15"/>
      <c r="P74" s="12"/>
      <c r="Q74" s="12"/>
    </row>
    <row r="75" spans="1:17" ht="14.5" customHeight="1" x14ac:dyDescent="0.35">
      <c r="A75" s="21">
        <v>23</v>
      </c>
      <c r="B75" s="21">
        <v>4</v>
      </c>
      <c r="C75" s="21">
        <v>23.333333333333332</v>
      </c>
      <c r="F75" s="21" t="s">
        <v>20</v>
      </c>
      <c r="H75" s="25">
        <f t="shared" si="36"/>
        <v>23.333333333333332</v>
      </c>
      <c r="I75" s="25"/>
      <c r="K75" s="25">
        <f t="shared" si="38"/>
        <v>0</v>
      </c>
      <c r="L75" s="25">
        <f t="shared" si="39"/>
        <v>0</v>
      </c>
      <c r="M75" s="21">
        <f>C75-C69</f>
        <v>4.25</v>
      </c>
      <c r="O75" s="15"/>
      <c r="P75" s="12"/>
      <c r="Q75" s="12"/>
    </row>
    <row r="76" spans="1:17" ht="14.5" customHeight="1" x14ac:dyDescent="0.35">
      <c r="A76" s="21">
        <v>24</v>
      </c>
      <c r="B76" s="21">
        <v>9</v>
      </c>
      <c r="C76" s="21">
        <v>24.75</v>
      </c>
      <c r="D76" s="21">
        <v>0.3</v>
      </c>
      <c r="E76" s="21">
        <v>0</v>
      </c>
      <c r="H76" s="25">
        <f t="shared" si="36"/>
        <v>24.75</v>
      </c>
      <c r="I76" s="25">
        <f t="shared" si="37"/>
        <v>0.3</v>
      </c>
      <c r="J76" s="21">
        <f>(C77-C76)*((D76+D77)/2)</f>
        <v>0.44999999999999996</v>
      </c>
      <c r="K76" s="25">
        <f t="shared" si="38"/>
        <v>0</v>
      </c>
      <c r="L76" s="25">
        <f t="shared" si="39"/>
        <v>0</v>
      </c>
      <c r="O76" s="15"/>
      <c r="P76" s="12"/>
      <c r="Q76" s="12"/>
    </row>
    <row r="77" spans="1:17" ht="14.5" customHeight="1" x14ac:dyDescent="0.35">
      <c r="A77" s="21">
        <v>25</v>
      </c>
      <c r="B77" s="21">
        <v>9</v>
      </c>
      <c r="C77" s="21">
        <v>25.75</v>
      </c>
      <c r="D77" s="21">
        <v>0.6</v>
      </c>
      <c r="F77" s="21" t="s">
        <v>20</v>
      </c>
      <c r="H77" s="25">
        <f t="shared" si="36"/>
        <v>25.75</v>
      </c>
      <c r="I77" s="25">
        <f t="shared" si="37"/>
        <v>0.6</v>
      </c>
      <c r="K77" s="25">
        <f t="shared" si="38"/>
        <v>0</v>
      </c>
      <c r="L77" s="25">
        <f t="shared" si="39"/>
        <v>0</v>
      </c>
      <c r="O77" s="15"/>
      <c r="P77" s="12"/>
      <c r="Q77" s="12"/>
    </row>
    <row r="78" spans="1:17" ht="14.5" customHeight="1" x14ac:dyDescent="0.35">
      <c r="A78" s="21">
        <v>25</v>
      </c>
      <c r="B78" s="21">
        <v>9</v>
      </c>
      <c r="C78" s="21">
        <v>25.75</v>
      </c>
      <c r="D78" s="21">
        <v>0.6</v>
      </c>
      <c r="E78" s="21">
        <v>1.5</v>
      </c>
      <c r="H78" s="25">
        <f t="shared" si="36"/>
        <v>25.75</v>
      </c>
      <c r="I78" s="25">
        <f t="shared" si="37"/>
        <v>0.6</v>
      </c>
      <c r="J78" s="21">
        <f>(C79-C77)*D78</f>
        <v>0.70000000000000073</v>
      </c>
      <c r="K78" s="25">
        <f t="shared" si="38"/>
        <v>1.5</v>
      </c>
      <c r="L78" s="25">
        <f t="shared" si="39"/>
        <v>1.0500000000000012</v>
      </c>
      <c r="O78" s="15"/>
      <c r="P78" s="12"/>
      <c r="Q78" s="12"/>
    </row>
    <row r="79" spans="1:17" ht="14.5" customHeight="1" x14ac:dyDescent="0.35">
      <c r="A79" s="21">
        <v>26</v>
      </c>
      <c r="B79" s="21">
        <v>11</v>
      </c>
      <c r="C79" s="21">
        <v>26.916666666666668</v>
      </c>
      <c r="F79" s="21" t="s">
        <v>20</v>
      </c>
      <c r="H79" s="25">
        <f t="shared" si="36"/>
        <v>26.916666666666668</v>
      </c>
      <c r="I79" s="25"/>
      <c r="K79" s="25">
        <f t="shared" si="38"/>
        <v>0</v>
      </c>
      <c r="L79" s="25">
        <f t="shared" si="39"/>
        <v>0</v>
      </c>
      <c r="O79" s="15"/>
      <c r="P79" s="12"/>
      <c r="Q79" s="12"/>
    </row>
    <row r="80" spans="1:17" ht="14.5" customHeight="1" x14ac:dyDescent="0.35">
      <c r="A80" s="21">
        <v>27</v>
      </c>
      <c r="B80" s="21">
        <v>11</v>
      </c>
      <c r="C80" s="21">
        <v>27.916666666666668</v>
      </c>
      <c r="D80" s="21">
        <v>0.5</v>
      </c>
      <c r="E80" s="21">
        <v>0.12</v>
      </c>
      <c r="H80" s="25">
        <f t="shared" si="36"/>
        <v>27.916666666666668</v>
      </c>
      <c r="I80" s="25">
        <f t="shared" si="37"/>
        <v>0.5</v>
      </c>
      <c r="J80" s="25">
        <f>(C81-C79)*D80</f>
        <v>1</v>
      </c>
      <c r="K80" s="25">
        <f t="shared" si="38"/>
        <v>0.12</v>
      </c>
      <c r="L80" s="25">
        <f t="shared" si="39"/>
        <v>0.12</v>
      </c>
      <c r="O80" s="15"/>
      <c r="P80" s="12"/>
      <c r="Q80" s="12"/>
    </row>
    <row r="81" spans="1:17" ht="14.5" customHeight="1" x14ac:dyDescent="0.35">
      <c r="A81" s="21">
        <v>28</v>
      </c>
      <c r="B81" s="21">
        <v>11</v>
      </c>
      <c r="C81" s="21">
        <v>28.916666666666668</v>
      </c>
      <c r="D81" s="21">
        <v>0.5</v>
      </c>
      <c r="F81" s="21" t="s">
        <v>20</v>
      </c>
      <c r="H81" s="25">
        <f t="shared" si="36"/>
        <v>28.916666666666668</v>
      </c>
      <c r="I81" s="25">
        <f t="shared" si="37"/>
        <v>0.5</v>
      </c>
      <c r="K81" s="25">
        <f t="shared" si="38"/>
        <v>0</v>
      </c>
      <c r="L81" s="25">
        <f t="shared" si="39"/>
        <v>0</v>
      </c>
      <c r="O81" s="15"/>
      <c r="P81" s="12"/>
      <c r="Q81" s="12"/>
    </row>
    <row r="82" spans="1:17" ht="14.5" customHeight="1" x14ac:dyDescent="0.35">
      <c r="A82" s="21">
        <v>28</v>
      </c>
      <c r="B82" s="21">
        <v>11</v>
      </c>
      <c r="C82" s="21">
        <v>28.916666666666668</v>
      </c>
      <c r="D82" s="21">
        <v>0.5</v>
      </c>
      <c r="E82" s="21">
        <v>3.2</v>
      </c>
      <c r="H82" s="25">
        <f t="shared" si="36"/>
        <v>28.916666666666668</v>
      </c>
      <c r="I82" s="25">
        <f t="shared" si="37"/>
        <v>0.5</v>
      </c>
      <c r="J82" s="25">
        <f>(C83-C81)*D82</f>
        <v>1</v>
      </c>
      <c r="K82" s="25">
        <f t="shared" si="38"/>
        <v>3.2</v>
      </c>
      <c r="L82" s="25">
        <f t="shared" si="39"/>
        <v>3.2</v>
      </c>
      <c r="O82" s="15"/>
      <c r="P82" s="12"/>
      <c r="Q82" s="12"/>
    </row>
    <row r="83" spans="1:17" ht="14.5" customHeight="1" x14ac:dyDescent="0.35">
      <c r="A83" s="21">
        <v>30</v>
      </c>
      <c r="B83" s="21">
        <v>11</v>
      </c>
      <c r="C83" s="21">
        <v>30.916666666666668</v>
      </c>
      <c r="F83" s="21" t="s">
        <v>20</v>
      </c>
      <c r="H83" s="25">
        <f t="shared" si="36"/>
        <v>30.916666666666668</v>
      </c>
      <c r="I83" s="25"/>
      <c r="K83" s="25">
        <f t="shared" si="38"/>
        <v>0</v>
      </c>
      <c r="L83" s="25">
        <f t="shared" si="39"/>
        <v>0</v>
      </c>
      <c r="O83" s="15"/>
      <c r="P83" s="12"/>
      <c r="Q83" s="12"/>
    </row>
    <row r="84" spans="1:17" ht="14.5" customHeight="1" x14ac:dyDescent="0.35">
      <c r="A84" s="21">
        <v>33</v>
      </c>
      <c r="B84" s="21">
        <v>8</v>
      </c>
      <c r="C84" s="21">
        <v>33.666666666666664</v>
      </c>
      <c r="D84" s="21">
        <v>0.5</v>
      </c>
      <c r="E84" s="21">
        <v>0.65</v>
      </c>
      <c r="H84" s="25">
        <f t="shared" si="36"/>
        <v>33.666666666666664</v>
      </c>
      <c r="I84" s="25">
        <f t="shared" si="37"/>
        <v>0.5</v>
      </c>
      <c r="J84" s="25">
        <f>((C84-C83)*D84)+((C85-C84)*((D84+D85)/2))</f>
        <v>1.6750000000000003</v>
      </c>
      <c r="K84" s="25">
        <f t="shared" si="38"/>
        <v>0.65</v>
      </c>
      <c r="L84" s="25">
        <f t="shared" si="39"/>
        <v>1.0887500000000001</v>
      </c>
      <c r="O84" s="15"/>
      <c r="P84" s="12"/>
      <c r="Q84" s="12"/>
    </row>
    <row r="85" spans="1:17" ht="14.5" customHeight="1" x14ac:dyDescent="0.35">
      <c r="A85" s="21">
        <v>34</v>
      </c>
      <c r="B85" s="21">
        <v>4</v>
      </c>
      <c r="C85" s="21">
        <v>34.333333333333336</v>
      </c>
      <c r="D85" s="21">
        <v>0.4</v>
      </c>
      <c r="F85" s="21" t="s">
        <v>20</v>
      </c>
      <c r="H85" s="25">
        <f t="shared" si="36"/>
        <v>34.333333333333336</v>
      </c>
      <c r="I85" s="25">
        <f t="shared" si="37"/>
        <v>0.4</v>
      </c>
      <c r="K85" s="25">
        <f t="shared" si="38"/>
        <v>0</v>
      </c>
      <c r="L85" s="25">
        <f t="shared" si="39"/>
        <v>0</v>
      </c>
      <c r="O85" s="15"/>
      <c r="P85" s="12"/>
      <c r="Q85" s="12"/>
    </row>
    <row r="86" spans="1:17" ht="14.5" customHeight="1" x14ac:dyDescent="0.35">
      <c r="A86" s="21">
        <v>34</v>
      </c>
      <c r="B86" s="21">
        <v>4</v>
      </c>
      <c r="C86" s="21">
        <v>34.333333333333336</v>
      </c>
      <c r="D86" s="21">
        <v>0.4</v>
      </c>
      <c r="E86" s="21">
        <v>0</v>
      </c>
      <c r="H86" s="25">
        <f t="shared" si="36"/>
        <v>34.333333333333336</v>
      </c>
      <c r="I86" s="25">
        <f t="shared" si="37"/>
        <v>0.4</v>
      </c>
      <c r="J86" s="21">
        <f>(C87-C85)*D86</f>
        <v>0.76666666666666572</v>
      </c>
      <c r="K86" s="25">
        <f t="shared" si="38"/>
        <v>0</v>
      </c>
      <c r="L86" s="25">
        <f t="shared" si="39"/>
        <v>0</v>
      </c>
      <c r="O86" s="15"/>
      <c r="P86" s="12"/>
      <c r="Q86" s="12"/>
    </row>
    <row r="87" spans="1:17" ht="14.5" customHeight="1" x14ac:dyDescent="0.35">
      <c r="A87" s="21">
        <v>36</v>
      </c>
      <c r="B87" s="21">
        <v>3</v>
      </c>
      <c r="C87" s="21">
        <v>36.25</v>
      </c>
      <c r="F87" s="21" t="s">
        <v>20</v>
      </c>
      <c r="H87" s="25">
        <f t="shared" si="36"/>
        <v>36.25</v>
      </c>
      <c r="I87" s="25"/>
      <c r="K87" s="25">
        <f t="shared" si="38"/>
        <v>0</v>
      </c>
      <c r="L87" s="25">
        <f t="shared" si="39"/>
        <v>0</v>
      </c>
      <c r="M87" s="21">
        <f>C87-C76</f>
        <v>11.5</v>
      </c>
      <c r="O87" s="15"/>
      <c r="P87" s="12"/>
      <c r="Q87" s="12"/>
    </row>
    <row r="88" spans="1:17" ht="14.5" customHeight="1" x14ac:dyDescent="0.35">
      <c r="O88" s="15"/>
      <c r="P88" s="12"/>
      <c r="Q88" s="12"/>
    </row>
    <row r="89" spans="1:17" ht="14.5" customHeight="1" x14ac:dyDescent="0.35">
      <c r="A89" s="16" t="s">
        <v>97</v>
      </c>
      <c r="B89" s="24">
        <f>SUM(J69:J87)</f>
        <v>7.5104166666666679</v>
      </c>
      <c r="C89" s="12" t="s">
        <v>101</v>
      </c>
      <c r="D89" s="18" t="s">
        <v>111</v>
      </c>
      <c r="E89" s="25">
        <v>124.229</v>
      </c>
      <c r="F89" s="12" t="s">
        <v>58</v>
      </c>
      <c r="G89" s="12"/>
      <c r="H89" s="20"/>
      <c r="O89" s="15"/>
      <c r="P89" s="12"/>
      <c r="Q89" s="12"/>
    </row>
    <row r="90" spans="1:17" ht="14.5" customHeight="1" x14ac:dyDescent="0.35">
      <c r="A90" s="12" t="s">
        <v>99</v>
      </c>
      <c r="B90" s="18">
        <f>SUM(L69:L87)</f>
        <v>6.4432291666666686</v>
      </c>
      <c r="C90" s="12" t="s">
        <v>100</v>
      </c>
      <c r="D90" s="18" t="s">
        <v>94</v>
      </c>
      <c r="E90" s="12">
        <f>SUM(U:U)</f>
        <v>7.5100017466978715</v>
      </c>
      <c r="F90" s="12" t="s">
        <v>101</v>
      </c>
      <c r="G90" s="12"/>
      <c r="H90" s="20"/>
      <c r="O90" s="15"/>
      <c r="P90" s="12"/>
      <c r="Q90" s="12"/>
    </row>
    <row r="91" spans="1:17" ht="14.5" customHeight="1" x14ac:dyDescent="0.35">
      <c r="A91" s="12" t="s">
        <v>98</v>
      </c>
      <c r="B91" s="25">
        <f>B89/E92</f>
        <v>0.47685185185185192</v>
      </c>
      <c r="C91" s="12" t="s">
        <v>58</v>
      </c>
      <c r="D91" s="18" t="s">
        <v>112</v>
      </c>
      <c r="E91" s="25">
        <f>B89-E90</f>
        <v>4.1491996879639004E-4</v>
      </c>
      <c r="F91" s="12" t="s">
        <v>101</v>
      </c>
      <c r="G91" s="12" t="s">
        <v>175</v>
      </c>
      <c r="H91" s="20">
        <f>H87-H69</f>
        <v>17.166666666666668</v>
      </c>
      <c r="O91" s="15"/>
      <c r="P91" s="12"/>
      <c r="Q91" s="12"/>
    </row>
    <row r="92" spans="1:17" ht="14.5" customHeight="1" x14ac:dyDescent="0.35">
      <c r="A92" s="12" t="s">
        <v>102</v>
      </c>
      <c r="B92" s="25">
        <f>B90/B89</f>
        <v>0.85790568654646338</v>
      </c>
      <c r="C92" s="12" t="s">
        <v>103</v>
      </c>
      <c r="D92" s="18" t="s">
        <v>127</v>
      </c>
      <c r="E92" s="12">
        <f>SUM(M69:M87)</f>
        <v>15.75</v>
      </c>
      <c r="F92" s="12" t="s">
        <v>58</v>
      </c>
      <c r="G92" s="12" t="s">
        <v>180</v>
      </c>
      <c r="H92" s="36">
        <f>H91/$D$172</f>
        <v>0.81422924901185778</v>
      </c>
      <c r="O92" s="15"/>
      <c r="P92" s="12"/>
      <c r="Q92" s="12"/>
    </row>
    <row r="93" spans="1:17" ht="14.5" customHeight="1" x14ac:dyDescent="0.35">
      <c r="O93" s="15"/>
      <c r="P93" s="12"/>
      <c r="Q93" s="12"/>
    </row>
    <row r="94" spans="1:17" ht="14.5" customHeight="1" x14ac:dyDescent="0.35">
      <c r="A94" s="21" t="s">
        <v>143</v>
      </c>
      <c r="B94" s="12"/>
      <c r="C94" s="17" t="s">
        <v>13</v>
      </c>
      <c r="D94" s="17" t="s">
        <v>29</v>
      </c>
      <c r="E94" s="12" t="s">
        <v>7</v>
      </c>
      <c r="F94" s="12" t="s">
        <v>3</v>
      </c>
      <c r="G94" s="12"/>
      <c r="H94" s="12" t="s">
        <v>96</v>
      </c>
      <c r="I94" s="12" t="s">
        <v>6</v>
      </c>
      <c r="J94" s="12" t="s">
        <v>94</v>
      </c>
      <c r="K94" s="12" t="s">
        <v>7</v>
      </c>
      <c r="L94" s="12" t="s">
        <v>95</v>
      </c>
      <c r="M94" s="25" t="s">
        <v>127</v>
      </c>
      <c r="O94" s="15"/>
      <c r="P94" s="12"/>
      <c r="Q94" s="12"/>
    </row>
    <row r="95" spans="1:17" ht="14.5" customHeight="1" x14ac:dyDescent="0.35">
      <c r="A95" s="21">
        <v>19</v>
      </c>
      <c r="B95" s="21">
        <v>1</v>
      </c>
      <c r="C95" s="21">
        <v>19.083333333333332</v>
      </c>
      <c r="D95" s="21">
        <v>0.78</v>
      </c>
      <c r="E95" s="21">
        <v>0.61</v>
      </c>
      <c r="F95" s="21" t="s">
        <v>121</v>
      </c>
      <c r="H95" s="25">
        <f>C95</f>
        <v>19.083333333333332</v>
      </c>
      <c r="I95" s="25">
        <f>D95</f>
        <v>0.78</v>
      </c>
      <c r="J95" s="21">
        <f>((H96-H95)/2)* I95</f>
        <v>0.13000000000000092</v>
      </c>
      <c r="K95" s="21">
        <f>E95</f>
        <v>0.61</v>
      </c>
      <c r="L95" s="21">
        <f>J95*K95</f>
        <v>7.9300000000000564E-2</v>
      </c>
      <c r="O95" s="15"/>
      <c r="P95" s="25"/>
      <c r="Q95" s="25"/>
    </row>
    <row r="96" spans="1:17" ht="14.5" customHeight="1" x14ac:dyDescent="0.35">
      <c r="A96" s="21">
        <v>19</v>
      </c>
      <c r="B96" s="21">
        <v>5</v>
      </c>
      <c r="C96" s="21">
        <v>19.416666666666668</v>
      </c>
      <c r="D96" s="21">
        <v>0.8</v>
      </c>
      <c r="E96" s="21">
        <v>0.48</v>
      </c>
      <c r="H96" s="25">
        <f t="shared" ref="H96:H107" si="40">C96</f>
        <v>19.416666666666668</v>
      </c>
      <c r="I96" s="25">
        <f t="shared" ref="I96:I98" si="41">D96</f>
        <v>0.8</v>
      </c>
      <c r="J96" s="21">
        <f>((H97-H95)/2)*I96</f>
        <v>0.56666666666666721</v>
      </c>
      <c r="K96" s="25">
        <f t="shared" ref="K96:K98" si="42">E96</f>
        <v>0.48</v>
      </c>
      <c r="L96" s="25">
        <f t="shared" ref="L96:L107" si="43">J96*K96</f>
        <v>0.27200000000000024</v>
      </c>
      <c r="O96" s="15"/>
      <c r="P96" s="25"/>
      <c r="Q96" s="12"/>
    </row>
    <row r="97" spans="1:17" ht="14.5" customHeight="1" x14ac:dyDescent="0.35">
      <c r="A97" s="21">
        <v>20</v>
      </c>
      <c r="B97" s="21">
        <v>6</v>
      </c>
      <c r="C97" s="21">
        <v>20.5</v>
      </c>
      <c r="D97" s="21">
        <v>0.85</v>
      </c>
      <c r="E97" s="21">
        <v>1.83</v>
      </c>
      <c r="H97" s="25">
        <f t="shared" si="40"/>
        <v>20.5</v>
      </c>
      <c r="I97" s="25">
        <f t="shared" si="41"/>
        <v>0.85</v>
      </c>
      <c r="J97" s="25">
        <f>((H98-H96)/2)*I97</f>
        <v>1.5583333333333322</v>
      </c>
      <c r="K97" s="25">
        <f t="shared" si="42"/>
        <v>1.83</v>
      </c>
      <c r="L97" s="25">
        <f t="shared" si="43"/>
        <v>2.8517499999999982</v>
      </c>
      <c r="O97" s="15"/>
      <c r="P97" s="25"/>
      <c r="Q97" s="12"/>
    </row>
    <row r="98" spans="1:17" ht="14.5" customHeight="1" x14ac:dyDescent="0.35">
      <c r="A98" s="21">
        <v>23</v>
      </c>
      <c r="B98" s="21">
        <v>1</v>
      </c>
      <c r="C98" s="21">
        <v>23.083333333333332</v>
      </c>
      <c r="D98" s="21">
        <v>0.7</v>
      </c>
      <c r="E98" s="21">
        <v>1.1499999999999999</v>
      </c>
      <c r="H98" s="25">
        <f t="shared" si="40"/>
        <v>23.083333333333332</v>
      </c>
      <c r="I98" s="25">
        <f t="shared" si="41"/>
        <v>0.7</v>
      </c>
      <c r="J98" s="25">
        <f>(((H98-H97)/2)+(H99-H98))*I98</f>
        <v>1.1958333333333337</v>
      </c>
      <c r="K98" s="25">
        <f t="shared" si="42"/>
        <v>1.1499999999999999</v>
      </c>
      <c r="L98" s="25">
        <f t="shared" si="43"/>
        <v>1.3752083333333338</v>
      </c>
      <c r="O98" s="15"/>
      <c r="P98" s="25"/>
      <c r="Q98" s="12"/>
    </row>
    <row r="99" spans="1:17" s="25" customFormat="1" ht="14.5" customHeight="1" x14ac:dyDescent="0.35">
      <c r="C99" s="25">
        <v>23.5</v>
      </c>
      <c r="F99" s="25" t="s">
        <v>123</v>
      </c>
      <c r="H99" s="25">
        <f t="shared" si="40"/>
        <v>23.5</v>
      </c>
      <c r="L99" s="25">
        <f t="shared" si="43"/>
        <v>0</v>
      </c>
      <c r="M99" s="25">
        <f>H99-H95</f>
        <v>4.4166666666666679</v>
      </c>
      <c r="O99" s="15"/>
      <c r="Q99" s="12"/>
    </row>
    <row r="100" spans="1:17" s="25" customFormat="1" ht="14.5" customHeight="1" x14ac:dyDescent="0.35">
      <c r="C100" s="25">
        <v>24.5</v>
      </c>
      <c r="F100" s="25" t="s">
        <v>121</v>
      </c>
      <c r="H100" s="25">
        <f t="shared" si="40"/>
        <v>24.5</v>
      </c>
      <c r="L100" s="25">
        <f t="shared" si="43"/>
        <v>0</v>
      </c>
      <c r="O100" s="15"/>
      <c r="Q100" s="12"/>
    </row>
    <row r="101" spans="1:17" ht="14.5" customHeight="1" x14ac:dyDescent="0.35">
      <c r="A101" s="21">
        <v>25</v>
      </c>
      <c r="B101" s="21">
        <v>3</v>
      </c>
      <c r="C101" s="21">
        <v>25.25</v>
      </c>
      <c r="D101" s="21">
        <v>0.55000000000000004</v>
      </c>
      <c r="E101" s="21">
        <v>-0.26</v>
      </c>
      <c r="H101" s="25">
        <f t="shared" si="40"/>
        <v>25.25</v>
      </c>
      <c r="I101" s="25">
        <f t="shared" ref="I101:I107" si="44">D101</f>
        <v>0.55000000000000004</v>
      </c>
      <c r="J101" s="25">
        <f>((H101-H100)+((H102-H101)/2))*I101</f>
        <v>0.71041666666666636</v>
      </c>
      <c r="K101" s="25">
        <f t="shared" ref="K101:K107" si="45">E101</f>
        <v>-0.26</v>
      </c>
      <c r="L101" s="25">
        <f t="shared" si="43"/>
        <v>-0.18470833333333325</v>
      </c>
      <c r="O101" s="15"/>
      <c r="P101" s="25"/>
      <c r="Q101" s="12"/>
    </row>
    <row r="102" spans="1:17" ht="14.5" customHeight="1" x14ac:dyDescent="0.35">
      <c r="A102" s="21">
        <v>26</v>
      </c>
      <c r="B102" s="21">
        <v>4</v>
      </c>
      <c r="C102" s="21">
        <v>26.333333333333332</v>
      </c>
      <c r="D102" s="21">
        <v>0.7</v>
      </c>
      <c r="E102" s="21">
        <v>2.69</v>
      </c>
      <c r="H102" s="25">
        <f t="shared" si="40"/>
        <v>26.333333333333332</v>
      </c>
      <c r="I102" s="25">
        <f t="shared" si="44"/>
        <v>0.7</v>
      </c>
      <c r="J102" s="25">
        <f>((H103-H101)/2)*I102</f>
        <v>1.1083333333333336</v>
      </c>
      <c r="K102" s="25">
        <f t="shared" si="45"/>
        <v>2.69</v>
      </c>
      <c r="L102" s="25">
        <f t="shared" si="43"/>
        <v>2.9814166666666675</v>
      </c>
      <c r="O102" s="15"/>
      <c r="P102" s="25"/>
      <c r="Q102" s="12"/>
    </row>
    <row r="103" spans="1:17" ht="14.5" customHeight="1" x14ac:dyDescent="0.35">
      <c r="A103" s="21">
        <v>28</v>
      </c>
      <c r="B103" s="21">
        <v>5</v>
      </c>
      <c r="C103" s="21">
        <v>28.416666666666668</v>
      </c>
      <c r="D103" s="21">
        <v>0.68</v>
      </c>
      <c r="E103" s="21">
        <v>2.39</v>
      </c>
      <c r="H103" s="25">
        <f t="shared" si="40"/>
        <v>28.416666666666668</v>
      </c>
      <c r="I103" s="25">
        <f t="shared" si="44"/>
        <v>0.68</v>
      </c>
      <c r="J103" s="25">
        <f t="shared" ref="J103:J105" si="46">((H104-H102)/2)*I103</f>
        <v>1.2183333333333342</v>
      </c>
      <c r="K103" s="25">
        <f t="shared" si="45"/>
        <v>2.39</v>
      </c>
      <c r="L103" s="25">
        <f t="shared" si="43"/>
        <v>2.9118166666666689</v>
      </c>
      <c r="O103" s="15"/>
      <c r="P103" s="25"/>
      <c r="Q103" s="12"/>
    </row>
    <row r="104" spans="1:17" ht="14.5" customHeight="1" x14ac:dyDescent="0.35">
      <c r="A104" s="21">
        <v>29</v>
      </c>
      <c r="B104" s="21">
        <v>11</v>
      </c>
      <c r="C104" s="21">
        <v>29.916666666666668</v>
      </c>
      <c r="D104" s="21">
        <v>0.95</v>
      </c>
      <c r="E104" s="21">
        <v>1.52</v>
      </c>
      <c r="H104" s="25">
        <f t="shared" si="40"/>
        <v>29.916666666666668</v>
      </c>
      <c r="I104" s="25">
        <f t="shared" si="44"/>
        <v>0.95</v>
      </c>
      <c r="J104" s="25">
        <f>((H105-H103)/2)*I104</f>
        <v>2.4937499999999981</v>
      </c>
      <c r="K104" s="25">
        <f t="shared" si="45"/>
        <v>1.52</v>
      </c>
      <c r="L104" s="25">
        <f t="shared" si="43"/>
        <v>3.7904999999999971</v>
      </c>
      <c r="O104" s="15"/>
      <c r="P104" s="25"/>
      <c r="Q104" s="12"/>
    </row>
    <row r="105" spans="1:17" ht="14.5" customHeight="1" x14ac:dyDescent="0.35">
      <c r="A105" s="21">
        <v>33</v>
      </c>
      <c r="B105" s="21">
        <v>8</v>
      </c>
      <c r="C105" s="21">
        <v>33.666666666666664</v>
      </c>
      <c r="D105" s="21">
        <v>0.74</v>
      </c>
      <c r="E105" s="21">
        <v>0.93</v>
      </c>
      <c r="H105" s="25">
        <f t="shared" si="40"/>
        <v>33.666666666666664</v>
      </c>
      <c r="I105" s="25">
        <f t="shared" si="44"/>
        <v>0.74</v>
      </c>
      <c r="J105" s="25">
        <f t="shared" si="46"/>
        <v>2.0041666666666669</v>
      </c>
      <c r="K105" s="25">
        <f t="shared" si="45"/>
        <v>0.93</v>
      </c>
      <c r="L105" s="25">
        <f t="shared" si="43"/>
        <v>1.8638750000000004</v>
      </c>
      <c r="O105" s="15"/>
      <c r="P105" s="25"/>
      <c r="Q105" s="12"/>
    </row>
    <row r="106" spans="1:17" ht="14.5" customHeight="1" x14ac:dyDescent="0.35">
      <c r="A106" s="21">
        <v>35</v>
      </c>
      <c r="B106" s="21">
        <v>4</v>
      </c>
      <c r="C106" s="21">
        <v>35.333333333333336</v>
      </c>
      <c r="D106" s="21">
        <v>0.8</v>
      </c>
      <c r="E106" s="21">
        <v>-0.27</v>
      </c>
      <c r="H106" s="25">
        <f t="shared" si="40"/>
        <v>35.333333333333336</v>
      </c>
      <c r="I106" s="25">
        <f t="shared" si="44"/>
        <v>0.8</v>
      </c>
      <c r="J106" s="25">
        <f>((H107-H105)/2)*I106</f>
        <v>1.2666666666666686</v>
      </c>
      <c r="K106" s="25">
        <f t="shared" si="45"/>
        <v>-0.27</v>
      </c>
      <c r="L106" s="25">
        <f t="shared" si="43"/>
        <v>-0.34200000000000053</v>
      </c>
      <c r="O106" s="15"/>
      <c r="P106" s="25"/>
      <c r="Q106" s="12"/>
    </row>
    <row r="107" spans="1:17" ht="14.5" customHeight="1" x14ac:dyDescent="0.35">
      <c r="A107" s="21">
        <v>36</v>
      </c>
      <c r="B107" s="21">
        <v>10</v>
      </c>
      <c r="C107" s="21">
        <v>36.833333333333336</v>
      </c>
      <c r="D107" s="21">
        <v>0.37</v>
      </c>
      <c r="F107" s="21" t="s">
        <v>36</v>
      </c>
      <c r="H107" s="25">
        <f t="shared" si="40"/>
        <v>36.833333333333336</v>
      </c>
      <c r="I107" s="25">
        <f t="shared" si="44"/>
        <v>0.37</v>
      </c>
      <c r="J107" s="21">
        <f>((H107-H106)/2)*I107</f>
        <v>0.27749999999999997</v>
      </c>
      <c r="K107" s="25">
        <f t="shared" si="45"/>
        <v>0</v>
      </c>
      <c r="L107" s="25">
        <f t="shared" si="43"/>
        <v>0</v>
      </c>
      <c r="M107" s="21">
        <f>H107-H100</f>
        <v>12.333333333333336</v>
      </c>
      <c r="O107" s="15"/>
      <c r="P107" s="25"/>
      <c r="Q107" s="12"/>
    </row>
    <row r="108" spans="1:17" ht="14.5" customHeight="1" x14ac:dyDescent="0.35">
      <c r="O108" s="15"/>
      <c r="P108" s="25"/>
      <c r="Q108" s="25"/>
    </row>
    <row r="109" spans="1:17" ht="14.5" customHeight="1" x14ac:dyDescent="0.35">
      <c r="A109" s="16" t="s">
        <v>97</v>
      </c>
      <c r="B109" s="24">
        <f>SUM(J95:J107)</f>
        <v>12.530000000000003</v>
      </c>
      <c r="C109" s="12" t="s">
        <v>101</v>
      </c>
      <c r="D109" s="18" t="s">
        <v>111</v>
      </c>
      <c r="E109" s="25">
        <v>124.53489999999999</v>
      </c>
      <c r="F109" s="12" t="s">
        <v>58</v>
      </c>
      <c r="G109" s="12"/>
      <c r="H109" s="20"/>
    </row>
    <row r="110" spans="1:17" ht="14.5" customHeight="1" x14ac:dyDescent="0.35">
      <c r="A110" s="12" t="s">
        <v>99</v>
      </c>
      <c r="B110" s="18">
        <f>SUM(L95:L107)</f>
        <v>15.599158333333333</v>
      </c>
      <c r="C110" s="12" t="s">
        <v>100</v>
      </c>
      <c r="D110" s="18" t="s">
        <v>94</v>
      </c>
      <c r="E110" s="12">
        <f>SUM(Y:Y)</f>
        <v>12.53008869296875</v>
      </c>
      <c r="F110" s="12" t="s">
        <v>101</v>
      </c>
      <c r="G110" s="12"/>
      <c r="H110" s="20"/>
    </row>
    <row r="111" spans="1:17" ht="14.5" customHeight="1" x14ac:dyDescent="0.35">
      <c r="A111" s="12" t="s">
        <v>98</v>
      </c>
      <c r="B111" s="25">
        <f>B109/E112</f>
        <v>0.74805970149253731</v>
      </c>
      <c r="C111" s="12" t="s">
        <v>58</v>
      </c>
      <c r="D111" s="18" t="s">
        <v>112</v>
      </c>
      <c r="E111" s="25">
        <f>B109-E110</f>
        <v>-8.8692968747139389E-5</v>
      </c>
      <c r="F111" s="12" t="s">
        <v>101</v>
      </c>
      <c r="G111" s="12" t="s">
        <v>175</v>
      </c>
      <c r="H111" s="20">
        <f>H107-H95</f>
        <v>17.750000000000004</v>
      </c>
    </row>
    <row r="112" spans="1:17" ht="14.5" customHeight="1" x14ac:dyDescent="0.35">
      <c r="A112" s="12" t="s">
        <v>102</v>
      </c>
      <c r="B112" s="25">
        <f>B110/B109</f>
        <v>1.2449447991487095</v>
      </c>
      <c r="C112" s="12" t="s">
        <v>103</v>
      </c>
      <c r="D112" s="18" t="s">
        <v>127</v>
      </c>
      <c r="E112" s="12">
        <f>SUM(M95:M107)</f>
        <v>16.750000000000004</v>
      </c>
      <c r="F112" s="12" t="s">
        <v>58</v>
      </c>
      <c r="G112" s="12" t="s">
        <v>180</v>
      </c>
      <c r="H112" s="36">
        <f>H111/$D$172</f>
        <v>0.84189723320158127</v>
      </c>
    </row>
    <row r="114" spans="1:13" ht="14.5" customHeight="1" x14ac:dyDescent="0.35">
      <c r="A114" s="21" t="s">
        <v>144</v>
      </c>
      <c r="B114" s="12"/>
      <c r="C114" s="17" t="s">
        <v>13</v>
      </c>
      <c r="D114" s="17" t="s">
        <v>29</v>
      </c>
      <c r="E114" s="12" t="s">
        <v>7</v>
      </c>
      <c r="F114" s="12" t="s">
        <v>3</v>
      </c>
      <c r="G114" s="12"/>
      <c r="H114" s="12" t="s">
        <v>96</v>
      </c>
      <c r="I114" s="12" t="s">
        <v>6</v>
      </c>
      <c r="J114" s="12" t="s">
        <v>94</v>
      </c>
      <c r="K114" s="12" t="s">
        <v>7</v>
      </c>
      <c r="L114" s="12" t="s">
        <v>95</v>
      </c>
      <c r="M114" s="25" t="s">
        <v>127</v>
      </c>
    </row>
    <row r="115" spans="1:13" ht="14.5" customHeight="1" x14ac:dyDescent="0.35">
      <c r="A115" s="21">
        <v>16</v>
      </c>
      <c r="B115" s="21">
        <v>2</v>
      </c>
      <c r="C115" s="21">
        <v>16.166666666666668</v>
      </c>
      <c r="F115" s="21" t="s">
        <v>39</v>
      </c>
      <c r="H115" s="25">
        <f>C115</f>
        <v>16.166666666666668</v>
      </c>
      <c r="I115" s="25"/>
      <c r="L115" s="25">
        <f>J115*K115</f>
        <v>0</v>
      </c>
    </row>
    <row r="116" spans="1:13" ht="14.5" customHeight="1" x14ac:dyDescent="0.35">
      <c r="A116" s="21">
        <v>16</v>
      </c>
      <c r="B116" s="21">
        <v>8</v>
      </c>
      <c r="C116" s="21">
        <v>16.666666666666668</v>
      </c>
      <c r="D116" s="21">
        <v>0.5</v>
      </c>
      <c r="E116" s="21">
        <v>0</v>
      </c>
      <c r="H116" s="25">
        <f t="shared" ref="H116:H139" si="47">C116</f>
        <v>16.666666666666668</v>
      </c>
      <c r="I116" s="25">
        <f t="shared" ref="I116:I139" si="48">D116</f>
        <v>0.5</v>
      </c>
      <c r="J116" s="25">
        <f>((H117-H115)/2)*I116</f>
        <v>0.20833333333333304</v>
      </c>
      <c r="K116" s="21">
        <f>E116</f>
        <v>0</v>
      </c>
      <c r="L116" s="21">
        <f>J116*K116</f>
        <v>0</v>
      </c>
      <c r="M116" s="21">
        <f>H117-H115</f>
        <v>0.83333333333333215</v>
      </c>
    </row>
    <row r="117" spans="1:13" ht="14.5" customHeight="1" x14ac:dyDescent="0.35">
      <c r="A117" s="21">
        <v>17</v>
      </c>
      <c r="B117" s="21">
        <v>0</v>
      </c>
      <c r="C117" s="21">
        <v>17</v>
      </c>
      <c r="F117" s="21" t="s">
        <v>40</v>
      </c>
      <c r="H117" s="25">
        <f t="shared" si="47"/>
        <v>17</v>
      </c>
      <c r="I117" s="25"/>
      <c r="K117" s="25"/>
      <c r="L117" s="25">
        <f t="shared" ref="L117:L139" si="49">J117*K117</f>
        <v>0</v>
      </c>
    </row>
    <row r="118" spans="1:13" ht="14.5" customHeight="1" x14ac:dyDescent="0.35">
      <c r="A118" s="21">
        <v>18</v>
      </c>
      <c r="B118" s="21">
        <v>11</v>
      </c>
      <c r="C118" s="21">
        <v>18.916666666666668</v>
      </c>
      <c r="F118" s="21" t="s">
        <v>41</v>
      </c>
      <c r="H118" s="25">
        <f t="shared" si="47"/>
        <v>18.916666666666668</v>
      </c>
      <c r="I118" s="25"/>
      <c r="K118" s="25"/>
      <c r="L118" s="25">
        <f t="shared" si="49"/>
        <v>0</v>
      </c>
    </row>
    <row r="119" spans="1:13" ht="14.5" customHeight="1" x14ac:dyDescent="0.35">
      <c r="A119" s="21">
        <v>20</v>
      </c>
      <c r="B119" s="21">
        <v>4</v>
      </c>
      <c r="C119" s="21">
        <v>20.333333333333332</v>
      </c>
      <c r="D119" s="21">
        <v>1</v>
      </c>
      <c r="E119" s="21">
        <v>2.3199999999999998</v>
      </c>
      <c r="H119" s="25">
        <f t="shared" si="47"/>
        <v>20.333333333333332</v>
      </c>
      <c r="I119" s="25">
        <f t="shared" si="48"/>
        <v>1</v>
      </c>
      <c r="J119" s="21">
        <f>((H119-H118)*I119)+((H120-H119)*((I119+I120)/2))</f>
        <v>2.9166666666666652</v>
      </c>
      <c r="K119" s="25">
        <f t="shared" ref="K119:K138" si="50">E119</f>
        <v>2.3199999999999998</v>
      </c>
      <c r="L119" s="25">
        <f t="shared" si="49"/>
        <v>6.7666666666666631</v>
      </c>
    </row>
    <row r="120" spans="1:13" ht="14.5" customHeight="1" x14ac:dyDescent="0.35">
      <c r="A120" s="21">
        <v>22</v>
      </c>
      <c r="B120" s="21">
        <v>0</v>
      </c>
      <c r="C120" s="21">
        <v>22</v>
      </c>
      <c r="D120" s="21">
        <v>0.8</v>
      </c>
      <c r="F120" s="21" t="s">
        <v>20</v>
      </c>
      <c r="H120" s="25">
        <f t="shared" si="47"/>
        <v>22</v>
      </c>
      <c r="I120" s="25">
        <f t="shared" si="48"/>
        <v>0.8</v>
      </c>
      <c r="K120" s="25"/>
      <c r="L120" s="25">
        <f t="shared" si="49"/>
        <v>0</v>
      </c>
    </row>
    <row r="121" spans="1:13" ht="14.5" customHeight="1" x14ac:dyDescent="0.35">
      <c r="A121" s="21">
        <v>22</v>
      </c>
      <c r="B121" s="21">
        <v>11</v>
      </c>
      <c r="C121" s="21">
        <v>22.916666666666668</v>
      </c>
      <c r="D121" s="21">
        <v>0.9</v>
      </c>
      <c r="E121" s="21">
        <v>1.48</v>
      </c>
      <c r="H121" s="25">
        <f t="shared" si="47"/>
        <v>22.916666666666668</v>
      </c>
      <c r="I121" s="25">
        <f t="shared" si="48"/>
        <v>0.9</v>
      </c>
      <c r="J121" s="25">
        <f>((H121-H120)*((I120+I121)/2))+((H122-H121)*((I121+I122)/2))</f>
        <v>1.3333333333333333</v>
      </c>
      <c r="K121" s="25">
        <f t="shared" si="50"/>
        <v>1.48</v>
      </c>
      <c r="L121" s="25">
        <f t="shared" si="49"/>
        <v>1.9733333333333332</v>
      </c>
    </row>
    <row r="122" spans="1:13" ht="14.5" customHeight="1" x14ac:dyDescent="0.35">
      <c r="A122" s="21">
        <v>23</v>
      </c>
      <c r="B122" s="21">
        <v>6</v>
      </c>
      <c r="C122" s="21">
        <v>23.5</v>
      </c>
      <c r="D122" s="21">
        <v>1</v>
      </c>
      <c r="F122" s="21" t="s">
        <v>20</v>
      </c>
      <c r="H122" s="25">
        <f t="shared" si="47"/>
        <v>23.5</v>
      </c>
      <c r="I122" s="25">
        <f t="shared" si="48"/>
        <v>1</v>
      </c>
      <c r="K122" s="25"/>
      <c r="L122" s="25">
        <f t="shared" si="49"/>
        <v>0</v>
      </c>
      <c r="M122" s="21">
        <f>H122-H118</f>
        <v>4.5833333333333321</v>
      </c>
    </row>
    <row r="123" spans="1:13" ht="14.5" customHeight="1" x14ac:dyDescent="0.35">
      <c r="A123" s="21">
        <v>24</v>
      </c>
      <c r="B123" s="21">
        <v>6</v>
      </c>
      <c r="C123" s="21">
        <v>24.5</v>
      </c>
      <c r="D123" s="21">
        <v>0.5</v>
      </c>
      <c r="F123" s="21" t="s">
        <v>42</v>
      </c>
      <c r="H123" s="25">
        <f t="shared" si="47"/>
        <v>24.5</v>
      </c>
      <c r="I123" s="25">
        <f t="shared" si="48"/>
        <v>0.5</v>
      </c>
      <c r="K123" s="25"/>
      <c r="L123" s="25">
        <f t="shared" si="49"/>
        <v>0</v>
      </c>
    </row>
    <row r="124" spans="1:13" ht="14.5" customHeight="1" x14ac:dyDescent="0.35">
      <c r="A124" s="21">
        <v>25</v>
      </c>
      <c r="B124" s="21">
        <v>4</v>
      </c>
      <c r="C124" s="21">
        <v>25.333333333333332</v>
      </c>
      <c r="D124" s="21">
        <v>0.5</v>
      </c>
      <c r="E124" s="21">
        <v>0.34</v>
      </c>
      <c r="H124" s="25">
        <f t="shared" si="47"/>
        <v>25.333333333333332</v>
      </c>
      <c r="I124" s="25">
        <f t="shared" si="48"/>
        <v>0.5</v>
      </c>
      <c r="J124" s="25">
        <f>((H124-H123)*((I123+I124)/2))+((H125-H124)*((I124+I125)/2))</f>
        <v>0.58333333333333393</v>
      </c>
      <c r="K124" s="25">
        <f t="shared" si="50"/>
        <v>0.34</v>
      </c>
      <c r="L124" s="25">
        <f t="shared" si="49"/>
        <v>0.19833333333333356</v>
      </c>
    </row>
    <row r="125" spans="1:13" ht="14.5" customHeight="1" x14ac:dyDescent="0.35">
      <c r="A125" s="21">
        <v>25</v>
      </c>
      <c r="B125" s="21">
        <v>8</v>
      </c>
      <c r="C125" s="21">
        <v>25.666666666666668</v>
      </c>
      <c r="D125" s="21">
        <v>0.5</v>
      </c>
      <c r="F125" s="21" t="s">
        <v>20</v>
      </c>
      <c r="H125" s="25">
        <f t="shared" si="47"/>
        <v>25.666666666666668</v>
      </c>
      <c r="I125" s="25">
        <f t="shared" si="48"/>
        <v>0.5</v>
      </c>
      <c r="K125" s="25"/>
      <c r="L125" s="25">
        <f t="shared" si="49"/>
        <v>0</v>
      </c>
    </row>
    <row r="126" spans="1:13" ht="14.5" customHeight="1" x14ac:dyDescent="0.35">
      <c r="A126" s="21">
        <v>26</v>
      </c>
      <c r="B126" s="21">
        <v>10</v>
      </c>
      <c r="C126" s="21">
        <v>26.833333333333332</v>
      </c>
      <c r="D126" s="21">
        <v>0.7</v>
      </c>
      <c r="E126" s="21">
        <v>3.77</v>
      </c>
      <c r="H126" s="25">
        <f t="shared" si="47"/>
        <v>26.833333333333332</v>
      </c>
      <c r="I126" s="25">
        <f t="shared" si="48"/>
        <v>0.7</v>
      </c>
      <c r="J126" s="25">
        <f>((H126-H125)*((I125+I126)/2))+((H127-H126)*((I126+I127)/2))</f>
        <v>1.020833333333333</v>
      </c>
      <c r="K126" s="25">
        <f t="shared" si="50"/>
        <v>3.77</v>
      </c>
      <c r="L126" s="25">
        <f t="shared" si="49"/>
        <v>3.8485416666666654</v>
      </c>
    </row>
    <row r="127" spans="1:13" ht="14.5" customHeight="1" x14ac:dyDescent="0.35">
      <c r="A127" s="21">
        <v>27</v>
      </c>
      <c r="B127" s="21">
        <v>5</v>
      </c>
      <c r="C127" s="21">
        <v>27.416666666666668</v>
      </c>
      <c r="D127" s="21">
        <v>0.4</v>
      </c>
      <c r="F127" s="21" t="s">
        <v>20</v>
      </c>
      <c r="H127" s="25">
        <f t="shared" si="47"/>
        <v>27.416666666666668</v>
      </c>
      <c r="I127" s="25">
        <f t="shared" si="48"/>
        <v>0.4</v>
      </c>
      <c r="K127" s="25"/>
      <c r="L127" s="25">
        <f t="shared" si="49"/>
        <v>0</v>
      </c>
    </row>
    <row r="128" spans="1:13" ht="14.5" customHeight="1" x14ac:dyDescent="0.35">
      <c r="A128" s="21">
        <v>28</v>
      </c>
      <c r="B128" s="21">
        <v>4</v>
      </c>
      <c r="C128" s="21">
        <v>28.333333333333332</v>
      </c>
      <c r="D128" s="21">
        <v>0.75</v>
      </c>
      <c r="E128" s="21">
        <v>1.01</v>
      </c>
      <c r="H128" s="25">
        <f t="shared" si="47"/>
        <v>28.333333333333332</v>
      </c>
      <c r="I128" s="25">
        <f t="shared" si="48"/>
        <v>0.75</v>
      </c>
      <c r="J128" s="25">
        <f>((H128-H127)*((I127+I128)/2))+((H129-H128)*((I128+I129)/2))</f>
        <v>0.9370833333333326</v>
      </c>
      <c r="K128" s="25">
        <f t="shared" si="50"/>
        <v>1.01</v>
      </c>
      <c r="L128" s="25">
        <f t="shared" si="49"/>
        <v>0.94645416666666593</v>
      </c>
    </row>
    <row r="129" spans="1:13" ht="14.5" customHeight="1" x14ac:dyDescent="0.35">
      <c r="A129" s="21">
        <v>29</v>
      </c>
      <c r="B129" s="21">
        <v>0</v>
      </c>
      <c r="C129" s="21">
        <v>29</v>
      </c>
      <c r="D129" s="21">
        <v>0.48</v>
      </c>
      <c r="F129" s="21" t="s">
        <v>20</v>
      </c>
      <c r="H129" s="25">
        <f t="shared" si="47"/>
        <v>29</v>
      </c>
      <c r="I129" s="25">
        <f t="shared" si="48"/>
        <v>0.48</v>
      </c>
      <c r="K129" s="25"/>
      <c r="L129" s="25">
        <f t="shared" si="49"/>
        <v>0</v>
      </c>
    </row>
    <row r="130" spans="1:13" ht="14.5" customHeight="1" x14ac:dyDescent="0.35">
      <c r="A130" s="21">
        <v>30</v>
      </c>
      <c r="B130" s="21">
        <v>0</v>
      </c>
      <c r="C130" s="21">
        <v>30</v>
      </c>
      <c r="D130" s="21">
        <v>1.23</v>
      </c>
      <c r="E130" s="21">
        <v>3.74</v>
      </c>
      <c r="H130" s="25">
        <f t="shared" si="47"/>
        <v>30</v>
      </c>
      <c r="I130" s="25">
        <f t="shared" si="48"/>
        <v>1.23</v>
      </c>
      <c r="J130" s="25">
        <f>((H130-H129)*((I129+I130)/2))+((H131-H130)*((I130+I131)/2))</f>
        <v>1.6087499999999999</v>
      </c>
      <c r="K130" s="25">
        <f t="shared" si="50"/>
        <v>3.74</v>
      </c>
      <c r="L130" s="25">
        <f t="shared" si="49"/>
        <v>6.0167250000000001</v>
      </c>
    </row>
    <row r="131" spans="1:13" ht="14.5" customHeight="1" x14ac:dyDescent="0.35">
      <c r="A131" s="21">
        <v>30</v>
      </c>
      <c r="B131" s="21">
        <v>9</v>
      </c>
      <c r="C131" s="21">
        <v>30.75</v>
      </c>
      <c r="D131" s="21">
        <v>0.78</v>
      </c>
      <c r="F131" s="21" t="s">
        <v>20</v>
      </c>
      <c r="H131" s="25">
        <f t="shared" si="47"/>
        <v>30.75</v>
      </c>
      <c r="I131" s="25">
        <f t="shared" si="48"/>
        <v>0.78</v>
      </c>
      <c r="K131" s="25"/>
      <c r="L131" s="25">
        <f t="shared" si="49"/>
        <v>0</v>
      </c>
    </row>
    <row r="132" spans="1:13" ht="14.5" customHeight="1" x14ac:dyDescent="0.35">
      <c r="A132" s="21">
        <v>31</v>
      </c>
      <c r="B132" s="21">
        <v>1</v>
      </c>
      <c r="C132" s="21">
        <v>31.083333333333332</v>
      </c>
      <c r="D132" s="21">
        <v>1.2</v>
      </c>
      <c r="E132" s="21">
        <v>-0.32</v>
      </c>
      <c r="H132" s="25">
        <f t="shared" si="47"/>
        <v>31.083333333333332</v>
      </c>
      <c r="I132" s="25">
        <f t="shared" si="48"/>
        <v>1.2</v>
      </c>
      <c r="J132" s="25">
        <f>((H132-H131)*((I131+I132)/2))+((H133-H132)*((I132+I133)/2))</f>
        <v>1.3200000000000003</v>
      </c>
      <c r="K132" s="25">
        <f t="shared" si="50"/>
        <v>-0.32</v>
      </c>
      <c r="L132" s="25">
        <f t="shared" si="49"/>
        <v>-0.42240000000000011</v>
      </c>
    </row>
    <row r="133" spans="1:13" ht="14.5" customHeight="1" x14ac:dyDescent="0.35">
      <c r="A133" s="21">
        <v>32</v>
      </c>
      <c r="B133" s="21">
        <v>0</v>
      </c>
      <c r="C133" s="21">
        <v>32</v>
      </c>
      <c r="D133" s="21">
        <v>0.96</v>
      </c>
      <c r="F133" s="21" t="s">
        <v>20</v>
      </c>
      <c r="H133" s="25">
        <f t="shared" si="47"/>
        <v>32</v>
      </c>
      <c r="I133" s="25">
        <f t="shared" si="48"/>
        <v>0.96</v>
      </c>
      <c r="K133" s="25"/>
      <c r="L133" s="25">
        <f t="shared" si="49"/>
        <v>0</v>
      </c>
    </row>
    <row r="134" spans="1:13" ht="14.5" customHeight="1" x14ac:dyDescent="0.35">
      <c r="A134" s="21">
        <v>32</v>
      </c>
      <c r="B134" s="21">
        <v>8</v>
      </c>
      <c r="C134" s="21">
        <v>32.666666666666664</v>
      </c>
      <c r="D134" s="21">
        <v>0.98</v>
      </c>
      <c r="E134" s="21">
        <v>1.47</v>
      </c>
      <c r="H134" s="25">
        <f t="shared" si="47"/>
        <v>32.666666666666664</v>
      </c>
      <c r="I134" s="25">
        <f t="shared" si="48"/>
        <v>0.98</v>
      </c>
      <c r="J134" s="25">
        <f>((H134-H133)*((I133+I134)/2))+((H135-H134)*((I134+I135)/2))</f>
        <v>2.1916666666666642</v>
      </c>
      <c r="K134" s="25">
        <f t="shared" si="50"/>
        <v>1.47</v>
      </c>
      <c r="L134" s="25">
        <f t="shared" si="49"/>
        <v>3.2217499999999961</v>
      </c>
    </row>
    <row r="135" spans="1:13" ht="14.5" customHeight="1" x14ac:dyDescent="0.35">
      <c r="A135" s="21">
        <v>34</v>
      </c>
      <c r="B135" s="21">
        <v>2</v>
      </c>
      <c r="C135" s="21">
        <v>34.166666666666664</v>
      </c>
      <c r="D135" s="21">
        <v>1.08</v>
      </c>
      <c r="F135" s="21" t="s">
        <v>20</v>
      </c>
      <c r="H135" s="25">
        <f t="shared" si="47"/>
        <v>34.166666666666664</v>
      </c>
      <c r="I135" s="25">
        <f t="shared" si="48"/>
        <v>1.08</v>
      </c>
      <c r="K135" s="25"/>
      <c r="L135" s="25">
        <f t="shared" si="49"/>
        <v>0</v>
      </c>
    </row>
    <row r="136" spans="1:13" ht="14.5" customHeight="1" x14ac:dyDescent="0.35">
      <c r="A136" s="21">
        <v>35</v>
      </c>
      <c r="B136" s="21">
        <v>3</v>
      </c>
      <c r="C136" s="21">
        <v>35.25</v>
      </c>
      <c r="D136" s="21">
        <v>1.04</v>
      </c>
      <c r="E136" s="21">
        <v>-0.1</v>
      </c>
      <c r="H136" s="25">
        <f t="shared" si="47"/>
        <v>35.25</v>
      </c>
      <c r="I136" s="25">
        <f t="shared" si="48"/>
        <v>1.04</v>
      </c>
      <c r="J136" s="25">
        <f>((H136-H135)*((I135+I136)/2))+((H137-H136)*((I136+I137)/2))</f>
        <v>2.2100000000000004</v>
      </c>
      <c r="K136" s="25">
        <f t="shared" si="50"/>
        <v>-0.1</v>
      </c>
      <c r="L136" s="25">
        <f t="shared" si="49"/>
        <v>-0.22100000000000006</v>
      </c>
    </row>
    <row r="137" spans="1:13" ht="14.5" customHeight="1" x14ac:dyDescent="0.35">
      <c r="A137" s="21">
        <v>36</v>
      </c>
      <c r="B137" s="21">
        <v>5</v>
      </c>
      <c r="C137" s="21">
        <v>36.416666666666664</v>
      </c>
      <c r="D137" s="21">
        <v>0.78</v>
      </c>
      <c r="F137" s="21" t="s">
        <v>20</v>
      </c>
      <c r="H137" s="25">
        <f t="shared" si="47"/>
        <v>36.416666666666664</v>
      </c>
      <c r="I137" s="25">
        <f t="shared" si="48"/>
        <v>0.78</v>
      </c>
      <c r="K137" s="25"/>
      <c r="L137" s="25">
        <f t="shared" si="49"/>
        <v>0</v>
      </c>
      <c r="M137" s="21">
        <f>H137-H123</f>
        <v>11.916666666666664</v>
      </c>
    </row>
    <row r="138" spans="1:13" ht="14.5" customHeight="1" x14ac:dyDescent="0.35">
      <c r="A138" s="21">
        <v>37</v>
      </c>
      <c r="B138" s="21">
        <v>0</v>
      </c>
      <c r="C138" s="21">
        <v>37</v>
      </c>
      <c r="D138" s="21">
        <v>0</v>
      </c>
      <c r="E138" s="21">
        <v>0</v>
      </c>
      <c r="H138" s="25">
        <f t="shared" si="47"/>
        <v>37</v>
      </c>
      <c r="I138" s="25">
        <f t="shared" si="48"/>
        <v>0</v>
      </c>
      <c r="K138" s="25">
        <f t="shared" si="50"/>
        <v>0</v>
      </c>
      <c r="L138" s="25">
        <f t="shared" si="49"/>
        <v>0</v>
      </c>
    </row>
    <row r="139" spans="1:13" ht="14.5" customHeight="1" x14ac:dyDescent="0.35">
      <c r="A139" s="21">
        <v>37</v>
      </c>
      <c r="B139" s="21">
        <v>0</v>
      </c>
      <c r="C139" s="21">
        <v>37</v>
      </c>
      <c r="D139" s="21">
        <v>0</v>
      </c>
      <c r="F139" s="21" t="s">
        <v>20</v>
      </c>
      <c r="H139" s="25">
        <f t="shared" si="47"/>
        <v>37</v>
      </c>
      <c r="I139" s="25">
        <f t="shared" si="48"/>
        <v>0</v>
      </c>
      <c r="K139" s="25"/>
      <c r="L139" s="25">
        <f t="shared" si="49"/>
        <v>0</v>
      </c>
    </row>
    <row r="141" spans="1:13" ht="14.5" customHeight="1" x14ac:dyDescent="0.35">
      <c r="A141" s="16" t="s">
        <v>97</v>
      </c>
      <c r="B141" s="24">
        <f>SUM(J115:J139)</f>
        <v>14.329999999999997</v>
      </c>
      <c r="C141" s="12" t="s">
        <v>101</v>
      </c>
      <c r="D141" s="18" t="s">
        <v>111</v>
      </c>
      <c r="E141" s="25">
        <v>124.6349</v>
      </c>
      <c r="F141" s="12" t="s">
        <v>58</v>
      </c>
      <c r="G141" s="12"/>
      <c r="H141" s="20"/>
    </row>
    <row r="142" spans="1:13" ht="14.5" customHeight="1" x14ac:dyDescent="0.35">
      <c r="A142" s="12" t="s">
        <v>99</v>
      </c>
      <c r="B142" s="18">
        <f>SUM(L115:L139)</f>
        <v>22.328404166666658</v>
      </c>
      <c r="C142" s="12" t="s">
        <v>100</v>
      </c>
      <c r="D142" s="18" t="s">
        <v>94</v>
      </c>
      <c r="E142" s="12">
        <f>SUM(AC:AC)</f>
        <v>14.330088692968907</v>
      </c>
      <c r="F142" s="12" t="s">
        <v>101</v>
      </c>
      <c r="G142" s="12"/>
      <c r="H142" s="20"/>
    </row>
    <row r="143" spans="1:13" ht="14.5" customHeight="1" x14ac:dyDescent="0.35">
      <c r="A143" s="12" t="s">
        <v>98</v>
      </c>
      <c r="B143" s="25">
        <f>B141/E144</f>
        <v>0.82673076923076927</v>
      </c>
      <c r="C143" s="12" t="s">
        <v>58</v>
      </c>
      <c r="D143" s="18" t="s">
        <v>112</v>
      </c>
      <c r="E143" s="25">
        <f>B141-E142</f>
        <v>-8.8692968910564218E-5</v>
      </c>
      <c r="F143" s="12" t="s">
        <v>101</v>
      </c>
      <c r="G143" s="12" t="s">
        <v>175</v>
      </c>
      <c r="H143" s="20">
        <f>H137-H115</f>
        <v>20.249999999999996</v>
      </c>
    </row>
    <row r="144" spans="1:13" ht="14.5" customHeight="1" x14ac:dyDescent="0.35">
      <c r="A144" s="12" t="s">
        <v>102</v>
      </c>
      <c r="B144" s="25">
        <f>B142/B141</f>
        <v>1.5581580018608976</v>
      </c>
      <c r="C144" s="12" t="s">
        <v>103</v>
      </c>
      <c r="D144" s="18" t="s">
        <v>127</v>
      </c>
      <c r="E144" s="12">
        <f>SUM(M115:M139)</f>
        <v>17.333333333333329</v>
      </c>
      <c r="F144" s="12" t="s">
        <v>58</v>
      </c>
      <c r="G144" s="12" t="s">
        <v>180</v>
      </c>
      <c r="H144" s="36">
        <f>H143/$D$172</f>
        <v>0.96047430830039515</v>
      </c>
    </row>
    <row r="146" spans="1:13" ht="14.5" customHeight="1" x14ac:dyDescent="0.35">
      <c r="A146" s="21" t="s">
        <v>145</v>
      </c>
      <c r="B146" s="12"/>
      <c r="C146" s="17" t="s">
        <v>13</v>
      </c>
      <c r="D146" s="17" t="s">
        <v>29</v>
      </c>
      <c r="E146" s="12" t="s">
        <v>7</v>
      </c>
      <c r="F146" s="12" t="s">
        <v>3</v>
      </c>
      <c r="G146" s="12"/>
      <c r="H146" s="12" t="s">
        <v>96</v>
      </c>
      <c r="I146" s="12" t="s">
        <v>6</v>
      </c>
      <c r="J146" s="12" t="s">
        <v>94</v>
      </c>
      <c r="K146" s="12" t="s">
        <v>7</v>
      </c>
      <c r="L146" s="12" t="s">
        <v>95</v>
      </c>
      <c r="M146" s="25" t="s">
        <v>127</v>
      </c>
    </row>
    <row r="147" spans="1:13" ht="14.5" customHeight="1" x14ac:dyDescent="0.35">
      <c r="A147" s="21">
        <v>19</v>
      </c>
      <c r="B147" s="21">
        <v>1</v>
      </c>
      <c r="C147" s="21">
        <v>19.083333333333332</v>
      </c>
      <c r="D147" s="21">
        <v>0.75</v>
      </c>
      <c r="E147" s="21">
        <v>1.57</v>
      </c>
      <c r="H147" s="25">
        <f t="shared" ref="H147:H165" si="51">C147</f>
        <v>19.083333333333332</v>
      </c>
      <c r="I147" s="25">
        <f t="shared" ref="I147:I164" si="52">D147</f>
        <v>0.75</v>
      </c>
      <c r="J147" s="21">
        <f>((H148-H147)/2)*I147</f>
        <v>0.12500000000000089</v>
      </c>
      <c r="K147" s="25">
        <f t="shared" ref="K147:K151" si="53">E147</f>
        <v>1.57</v>
      </c>
      <c r="L147" s="21">
        <f>J147*K147</f>
        <v>0.1962500000000014</v>
      </c>
      <c r="M147" s="21">
        <f>M116</f>
        <v>0.83333333333333215</v>
      </c>
    </row>
    <row r="148" spans="1:13" ht="14.5" customHeight="1" x14ac:dyDescent="0.35">
      <c r="A148" s="21">
        <v>19</v>
      </c>
      <c r="B148" s="21">
        <v>5</v>
      </c>
      <c r="C148" s="21">
        <v>19.416666666666668</v>
      </c>
      <c r="D148" s="21">
        <v>0.6</v>
      </c>
      <c r="E148" s="21">
        <v>2.12</v>
      </c>
      <c r="H148" s="25">
        <f t="shared" si="51"/>
        <v>19.416666666666668</v>
      </c>
      <c r="I148" s="25">
        <f t="shared" si="52"/>
        <v>0.6</v>
      </c>
      <c r="J148" s="25">
        <f>((H149-H147)/2)*I148</f>
        <v>0.42500000000000032</v>
      </c>
      <c r="K148" s="25">
        <f t="shared" si="53"/>
        <v>2.12</v>
      </c>
      <c r="L148" s="25">
        <f t="shared" ref="L148:L165" si="54">J148*K148</f>
        <v>0.90100000000000069</v>
      </c>
    </row>
    <row r="149" spans="1:13" ht="14.5" customHeight="1" x14ac:dyDescent="0.35">
      <c r="A149" s="21">
        <v>20</v>
      </c>
      <c r="B149" s="21">
        <v>6</v>
      </c>
      <c r="C149" s="21">
        <v>20.5</v>
      </c>
      <c r="D149" s="21">
        <v>0.6</v>
      </c>
      <c r="E149" s="21">
        <v>2.83</v>
      </c>
      <c r="H149" s="25">
        <f t="shared" si="51"/>
        <v>20.5</v>
      </c>
      <c r="I149" s="25">
        <f t="shared" si="52"/>
        <v>0.6</v>
      </c>
      <c r="J149" s="25">
        <f>((H150-H148)/2)*I149</f>
        <v>1.0999999999999992</v>
      </c>
      <c r="K149" s="25">
        <f t="shared" si="53"/>
        <v>2.83</v>
      </c>
      <c r="L149" s="25">
        <f t="shared" si="54"/>
        <v>3.1129999999999978</v>
      </c>
    </row>
    <row r="150" spans="1:13" ht="14.5" customHeight="1" x14ac:dyDescent="0.35">
      <c r="A150" s="21">
        <v>23</v>
      </c>
      <c r="B150" s="21">
        <v>1</v>
      </c>
      <c r="C150" s="21">
        <v>23.083333333333332</v>
      </c>
      <c r="D150" s="21">
        <v>1.3</v>
      </c>
      <c r="E150" s="21">
        <v>2.83</v>
      </c>
      <c r="H150" s="25">
        <f t="shared" si="51"/>
        <v>23.083333333333332</v>
      </c>
      <c r="I150" s="25">
        <f t="shared" si="52"/>
        <v>1.3</v>
      </c>
      <c r="J150" s="25">
        <f>((H151-H149)/2)*I150</f>
        <v>1.679166666666666</v>
      </c>
      <c r="K150" s="25">
        <f t="shared" si="53"/>
        <v>2.83</v>
      </c>
      <c r="L150" s="25">
        <f t="shared" si="54"/>
        <v>4.7520416666666652</v>
      </c>
    </row>
    <row r="151" spans="1:13" ht="14.5" customHeight="1" x14ac:dyDescent="0.35">
      <c r="A151" s="21">
        <v>23</v>
      </c>
      <c r="B151" s="21">
        <v>1</v>
      </c>
      <c r="C151" s="21">
        <v>23.083333333333332</v>
      </c>
      <c r="D151" s="21">
        <v>1.3</v>
      </c>
      <c r="E151" s="21">
        <v>2.83</v>
      </c>
      <c r="H151" s="25">
        <f t="shared" si="51"/>
        <v>23.083333333333332</v>
      </c>
      <c r="I151" s="25">
        <f t="shared" si="52"/>
        <v>1.3</v>
      </c>
      <c r="J151" s="25">
        <f>(((H151-H150)/2)*I151)+((H152-H151)*((I151+I152)/2))</f>
        <v>1.3333333333333344</v>
      </c>
      <c r="K151" s="25">
        <f t="shared" si="53"/>
        <v>2.83</v>
      </c>
      <c r="L151" s="25">
        <f t="shared" si="54"/>
        <v>3.7733333333333365</v>
      </c>
    </row>
    <row r="152" spans="1:13" ht="14.5" customHeight="1" x14ac:dyDescent="0.35">
      <c r="A152" s="21">
        <v>24</v>
      </c>
      <c r="B152" s="21">
        <v>9</v>
      </c>
      <c r="C152" s="21">
        <v>24.75</v>
      </c>
      <c r="D152" s="21">
        <v>0.3</v>
      </c>
      <c r="F152" s="21" t="s">
        <v>37</v>
      </c>
      <c r="H152" s="25">
        <f t="shared" si="51"/>
        <v>24.75</v>
      </c>
      <c r="I152" s="25">
        <f t="shared" si="52"/>
        <v>0.3</v>
      </c>
      <c r="L152" s="25">
        <f t="shared" si="54"/>
        <v>0</v>
      </c>
    </row>
    <row r="153" spans="1:13" ht="14.5" customHeight="1" x14ac:dyDescent="0.35">
      <c r="A153" s="21">
        <v>25</v>
      </c>
      <c r="B153" s="21">
        <v>3</v>
      </c>
      <c r="C153" s="21">
        <v>25.25</v>
      </c>
      <c r="D153" s="21">
        <v>0.3</v>
      </c>
      <c r="F153" s="21" t="s">
        <v>43</v>
      </c>
      <c r="H153" s="25">
        <f t="shared" si="51"/>
        <v>25.25</v>
      </c>
      <c r="I153" s="25">
        <f t="shared" si="52"/>
        <v>0.3</v>
      </c>
      <c r="J153" s="21">
        <f>(H153-H152)*I153</f>
        <v>0.15</v>
      </c>
      <c r="L153" s="25">
        <f t="shared" si="54"/>
        <v>0</v>
      </c>
      <c r="M153" s="21">
        <f>H122-H118</f>
        <v>4.5833333333333321</v>
      </c>
    </row>
    <row r="154" spans="1:13" ht="14.5" customHeight="1" x14ac:dyDescent="0.35">
      <c r="A154" s="21">
        <v>25</v>
      </c>
      <c r="B154" s="21">
        <v>9</v>
      </c>
      <c r="C154" s="21">
        <v>25.75</v>
      </c>
      <c r="F154" s="21" t="s">
        <v>20</v>
      </c>
      <c r="H154" s="25">
        <f t="shared" si="51"/>
        <v>25.75</v>
      </c>
      <c r="I154" s="25"/>
      <c r="L154" s="25">
        <f t="shared" si="54"/>
        <v>0</v>
      </c>
    </row>
    <row r="155" spans="1:13" ht="14.5" customHeight="1" x14ac:dyDescent="0.35">
      <c r="A155" s="21">
        <v>26</v>
      </c>
      <c r="B155" s="21">
        <v>4</v>
      </c>
      <c r="C155" s="21">
        <v>26.333333333333332</v>
      </c>
      <c r="D155" s="21">
        <v>1.2</v>
      </c>
      <c r="E155" s="21">
        <v>3.4</v>
      </c>
      <c r="H155" s="25">
        <f t="shared" si="51"/>
        <v>26.333333333333332</v>
      </c>
      <c r="I155" s="25">
        <f t="shared" si="52"/>
        <v>1.2</v>
      </c>
      <c r="J155" s="21">
        <f>(H156-H154)*I155</f>
        <v>1.4000000000000015</v>
      </c>
      <c r="K155" s="25">
        <f>E155</f>
        <v>3.4</v>
      </c>
      <c r="L155" s="25">
        <f t="shared" si="54"/>
        <v>4.7600000000000051</v>
      </c>
    </row>
    <row r="156" spans="1:13" ht="14.5" customHeight="1" x14ac:dyDescent="0.35">
      <c r="A156" s="21">
        <v>26</v>
      </c>
      <c r="B156" s="21">
        <v>11</v>
      </c>
      <c r="C156" s="21">
        <v>26.916666666666668</v>
      </c>
      <c r="F156" s="21" t="s">
        <v>20</v>
      </c>
      <c r="H156" s="25">
        <f t="shared" si="51"/>
        <v>26.916666666666668</v>
      </c>
      <c r="I156" s="25"/>
      <c r="L156" s="25">
        <f t="shared" si="54"/>
        <v>0</v>
      </c>
    </row>
    <row r="157" spans="1:13" ht="14.5" customHeight="1" x14ac:dyDescent="0.35">
      <c r="A157" s="21">
        <v>27</v>
      </c>
      <c r="B157" s="21">
        <v>11</v>
      </c>
      <c r="C157" s="21">
        <v>27.916666666666668</v>
      </c>
      <c r="F157" s="21" t="s">
        <v>37</v>
      </c>
      <c r="H157" s="25">
        <f t="shared" si="51"/>
        <v>27.916666666666668</v>
      </c>
      <c r="I157" s="25"/>
      <c r="J157" s="21">
        <f>(H157-H155)*((I158+I155)/2)</f>
        <v>1.5833333333333357</v>
      </c>
      <c r="L157" s="25">
        <f t="shared" si="54"/>
        <v>0</v>
      </c>
    </row>
    <row r="158" spans="1:13" ht="14.5" customHeight="1" x14ac:dyDescent="0.35">
      <c r="A158" s="21">
        <v>28</v>
      </c>
      <c r="B158" s="21">
        <v>5</v>
      </c>
      <c r="C158" s="21">
        <v>28.416666666666668</v>
      </c>
      <c r="D158" s="21">
        <v>0.8</v>
      </c>
      <c r="E158" s="21">
        <v>1.08</v>
      </c>
      <c r="H158" s="25">
        <f t="shared" si="51"/>
        <v>28.416666666666668</v>
      </c>
      <c r="I158" s="25">
        <f t="shared" si="52"/>
        <v>0.8</v>
      </c>
      <c r="J158" s="25">
        <f>(H159-H157)*I158</f>
        <v>0.8</v>
      </c>
      <c r="K158" s="25">
        <f>E158</f>
        <v>1.08</v>
      </c>
      <c r="L158" s="25">
        <f t="shared" si="54"/>
        <v>0.8640000000000001</v>
      </c>
    </row>
    <row r="159" spans="1:13" ht="14.5" customHeight="1" x14ac:dyDescent="0.35">
      <c r="A159" s="21">
        <v>28</v>
      </c>
      <c r="B159" s="21">
        <v>11</v>
      </c>
      <c r="C159" s="21">
        <v>28.916666666666668</v>
      </c>
      <c r="F159" s="21" t="s">
        <v>20</v>
      </c>
      <c r="H159" s="25">
        <f t="shared" si="51"/>
        <v>28.916666666666668</v>
      </c>
      <c r="I159" s="25"/>
      <c r="L159" s="25">
        <f t="shared" si="54"/>
        <v>0</v>
      </c>
      <c r="M159" s="25"/>
    </row>
    <row r="160" spans="1:13" ht="14.5" customHeight="1" x14ac:dyDescent="0.35">
      <c r="A160" s="21">
        <v>29</v>
      </c>
      <c r="B160" s="21">
        <v>11</v>
      </c>
      <c r="C160" s="25">
        <v>29.916666666666668</v>
      </c>
      <c r="D160" s="21">
        <v>1.34</v>
      </c>
      <c r="E160" s="21">
        <v>2.63</v>
      </c>
      <c r="H160" s="25">
        <f t="shared" si="51"/>
        <v>29.916666666666668</v>
      </c>
      <c r="I160" s="25">
        <f t="shared" si="52"/>
        <v>1.34</v>
      </c>
      <c r="J160" s="25">
        <f>(H161-H159)*I160</f>
        <v>2.68</v>
      </c>
      <c r="K160" s="25">
        <f>E160</f>
        <v>2.63</v>
      </c>
      <c r="L160" s="25">
        <f t="shared" si="54"/>
        <v>7.0484</v>
      </c>
    </row>
    <row r="161" spans="1:13" ht="14.5" customHeight="1" x14ac:dyDescent="0.35">
      <c r="A161" s="21">
        <v>30</v>
      </c>
      <c r="B161" s="21">
        <v>11</v>
      </c>
      <c r="C161" s="21">
        <v>30.916666666666668</v>
      </c>
      <c r="F161" s="21" t="s">
        <v>20</v>
      </c>
      <c r="H161" s="25">
        <f t="shared" si="51"/>
        <v>30.916666666666668</v>
      </c>
      <c r="I161" s="25"/>
      <c r="L161" s="25">
        <f t="shared" si="54"/>
        <v>0</v>
      </c>
      <c r="M161" s="25"/>
    </row>
    <row r="162" spans="1:13" ht="14.5" customHeight="1" x14ac:dyDescent="0.35">
      <c r="A162" s="21">
        <v>33</v>
      </c>
      <c r="B162" s="21">
        <v>8</v>
      </c>
      <c r="C162" s="21">
        <v>33.666666666666664</v>
      </c>
      <c r="D162" s="21">
        <v>1.06</v>
      </c>
      <c r="E162" s="21">
        <v>0.3</v>
      </c>
      <c r="H162" s="25">
        <f t="shared" si="51"/>
        <v>33.666666666666664</v>
      </c>
      <c r="I162" s="25">
        <f t="shared" si="52"/>
        <v>1.06</v>
      </c>
      <c r="J162" s="25">
        <f>(H163-H161)*I162</f>
        <v>3.6216666666666679</v>
      </c>
      <c r="K162" s="25">
        <f>E162</f>
        <v>0.3</v>
      </c>
      <c r="L162" s="25">
        <f t="shared" si="54"/>
        <v>1.0865000000000002</v>
      </c>
    </row>
    <row r="163" spans="1:13" ht="14.5" customHeight="1" x14ac:dyDescent="0.35">
      <c r="A163" s="21">
        <v>34</v>
      </c>
      <c r="B163" s="21">
        <v>4</v>
      </c>
      <c r="C163" s="21">
        <v>34.333333333333336</v>
      </c>
      <c r="F163" s="21" t="s">
        <v>20</v>
      </c>
      <c r="H163" s="25">
        <f t="shared" si="51"/>
        <v>34.333333333333336</v>
      </c>
      <c r="I163" s="25"/>
      <c r="L163" s="25">
        <f t="shared" si="54"/>
        <v>0</v>
      </c>
      <c r="M163" s="25"/>
    </row>
    <row r="164" spans="1:13" ht="14.5" customHeight="1" x14ac:dyDescent="0.35">
      <c r="A164" s="21">
        <v>35</v>
      </c>
      <c r="B164" s="21">
        <v>4</v>
      </c>
      <c r="C164" s="21">
        <v>35.333333333333336</v>
      </c>
      <c r="D164" s="21">
        <v>1.3</v>
      </c>
      <c r="E164" s="21">
        <v>0.41</v>
      </c>
      <c r="H164" s="25">
        <f t="shared" si="51"/>
        <v>35.333333333333336</v>
      </c>
      <c r="I164" s="25">
        <f t="shared" si="52"/>
        <v>1.3</v>
      </c>
      <c r="J164" s="25">
        <f>(H165-H163)*I164</f>
        <v>2.4916666666666636</v>
      </c>
      <c r="K164" s="25">
        <f>E164</f>
        <v>0.41</v>
      </c>
      <c r="L164" s="25">
        <f t="shared" si="54"/>
        <v>1.021583333333332</v>
      </c>
    </row>
    <row r="165" spans="1:13" ht="14.5" customHeight="1" x14ac:dyDescent="0.35">
      <c r="A165" s="21">
        <v>36</v>
      </c>
      <c r="B165" s="21">
        <v>3</v>
      </c>
      <c r="C165" s="21">
        <v>36.25</v>
      </c>
      <c r="F165" s="21" t="s">
        <v>20</v>
      </c>
      <c r="H165" s="25">
        <f t="shared" si="51"/>
        <v>36.25</v>
      </c>
      <c r="I165" s="25"/>
      <c r="L165" s="25">
        <f t="shared" si="54"/>
        <v>0</v>
      </c>
      <c r="M165" s="25">
        <f>H138-H123</f>
        <v>12.5</v>
      </c>
    </row>
    <row r="167" spans="1:13" ht="14.5" customHeight="1" x14ac:dyDescent="0.35">
      <c r="A167" s="16" t="s">
        <v>97</v>
      </c>
      <c r="B167" s="24">
        <f>SUM(J147:J165)</f>
        <v>17.389166666666668</v>
      </c>
      <c r="C167" s="12" t="s">
        <v>101</v>
      </c>
      <c r="D167" s="18" t="s">
        <v>111</v>
      </c>
      <c r="E167" s="25">
        <v>124.8584</v>
      </c>
      <c r="F167" s="12" t="s">
        <v>58</v>
      </c>
      <c r="G167" s="12"/>
      <c r="H167" s="20"/>
    </row>
    <row r="168" spans="1:13" ht="14.5" customHeight="1" x14ac:dyDescent="0.35">
      <c r="A168" s="12" t="s">
        <v>99</v>
      </c>
      <c r="B168" s="18">
        <f>SUM(L147:L165)</f>
        <v>27.516108333333342</v>
      </c>
      <c r="C168" s="12" t="s">
        <v>100</v>
      </c>
      <c r="D168" s="18" t="s">
        <v>94</v>
      </c>
      <c r="E168" s="12">
        <f>SUM(AG:AG)</f>
        <v>17.389260808098452</v>
      </c>
      <c r="F168" s="12" t="s">
        <v>101</v>
      </c>
      <c r="G168" s="12"/>
      <c r="H168" s="20"/>
    </row>
    <row r="169" spans="1:13" ht="14.5" customHeight="1" x14ac:dyDescent="0.35">
      <c r="A169" s="12" t="s">
        <v>98</v>
      </c>
      <c r="B169" s="25">
        <f>B167/E170</f>
        <v>0.9705581395348839</v>
      </c>
      <c r="C169" s="12" t="s">
        <v>58</v>
      </c>
      <c r="D169" s="18" t="s">
        <v>112</v>
      </c>
      <c r="E169" s="25">
        <f>B167-E168</f>
        <v>-9.4141431784322549E-5</v>
      </c>
      <c r="F169" s="12" t="s">
        <v>101</v>
      </c>
      <c r="G169" s="12" t="s">
        <v>175</v>
      </c>
      <c r="H169" s="20">
        <f>H138-H115</f>
        <v>20.833333333333332</v>
      </c>
    </row>
    <row r="170" spans="1:13" ht="14.5" customHeight="1" x14ac:dyDescent="0.35">
      <c r="A170" s="12" t="s">
        <v>102</v>
      </c>
      <c r="B170" s="25">
        <f>B168/B167</f>
        <v>1.5823707289020945</v>
      </c>
      <c r="C170" s="12" t="s">
        <v>103</v>
      </c>
      <c r="D170" s="18" t="s">
        <v>127</v>
      </c>
      <c r="E170" s="12">
        <f>SUM(M147:M165)</f>
        <v>17.916666666666664</v>
      </c>
      <c r="F170" s="12" t="s">
        <v>58</v>
      </c>
      <c r="G170" s="12" t="s">
        <v>180</v>
      </c>
      <c r="H170" s="36">
        <f>H169/$D$172</f>
        <v>0.98814229249011853</v>
      </c>
    </row>
    <row r="171" spans="1:13" s="25" customFormat="1" ht="14.5" customHeight="1" x14ac:dyDescent="0.35">
      <c r="A171" s="12"/>
      <c r="C171" s="12"/>
      <c r="D171" s="18"/>
      <c r="E171" s="12"/>
      <c r="F171" s="12"/>
    </row>
    <row r="172" spans="1:13" s="32" customFormat="1" ht="14.5" customHeight="1" x14ac:dyDescent="0.35">
      <c r="A172" s="12" t="s">
        <v>178</v>
      </c>
      <c r="B172" s="12">
        <v>21</v>
      </c>
      <c r="C172" s="12">
        <v>1</v>
      </c>
      <c r="D172" s="15">
        <f>B172+(C172/12)</f>
        <v>21.083333333333332</v>
      </c>
      <c r="E172" s="12" t="s">
        <v>58</v>
      </c>
      <c r="F172" s="12"/>
    </row>
    <row r="173" spans="1:13" s="32" customFormat="1" ht="14.5" customHeight="1" x14ac:dyDescent="0.35">
      <c r="A173" s="12"/>
      <c r="C173" s="12"/>
      <c r="D173" s="18"/>
      <c r="E173" s="12"/>
      <c r="F173" s="12"/>
    </row>
    <row r="174" spans="1:13" ht="14.5" customHeight="1" x14ac:dyDescent="0.35">
      <c r="D174" s="15" t="s">
        <v>70</v>
      </c>
      <c r="E174" s="12"/>
      <c r="F174" s="12" t="s">
        <v>71</v>
      </c>
    </row>
    <row r="175" spans="1:13" ht="14.5" customHeight="1" x14ac:dyDescent="0.35">
      <c r="D175" s="15">
        <v>1</v>
      </c>
      <c r="E175" s="12" t="s">
        <v>69</v>
      </c>
      <c r="F175" s="12">
        <v>10</v>
      </c>
    </row>
    <row r="176" spans="1:13" ht="14.5" customHeight="1" x14ac:dyDescent="0.35">
      <c r="D176" s="15">
        <v>1.5</v>
      </c>
      <c r="E176" s="12">
        <v>1</v>
      </c>
      <c r="F176" s="12">
        <f>F175+((F177-F175)*(($D176-$D175)/($D177-$D175)))</f>
        <v>15</v>
      </c>
    </row>
    <row r="177" spans="4:6" ht="14.5" customHeight="1" x14ac:dyDescent="0.35">
      <c r="D177" s="15">
        <v>2</v>
      </c>
      <c r="E177" s="12" t="s">
        <v>69</v>
      </c>
      <c r="F177" s="12">
        <v>20</v>
      </c>
    </row>
    <row r="178" spans="4:6" ht="14.5" customHeight="1" x14ac:dyDescent="0.35">
      <c r="D178" s="15">
        <v>2.33</v>
      </c>
      <c r="E178" s="12">
        <v>2</v>
      </c>
      <c r="F178" s="12">
        <f>F177+((F180-F177)*(($D178-$D177)/($D180-$D177)))</f>
        <v>23.3</v>
      </c>
    </row>
    <row r="179" spans="4:6" ht="14.5" customHeight="1" x14ac:dyDescent="0.35">
      <c r="D179" s="15">
        <v>2.67</v>
      </c>
      <c r="E179" s="12">
        <v>2</v>
      </c>
      <c r="F179" s="12">
        <f>F177+((F180-F177)*(($D179-$D177)/($D180-$D177)))</f>
        <v>26.7</v>
      </c>
    </row>
    <row r="180" spans="4:6" ht="14.5" customHeight="1" x14ac:dyDescent="0.35">
      <c r="D180" s="15">
        <v>3</v>
      </c>
      <c r="E180" s="12" t="s">
        <v>69</v>
      </c>
      <c r="F180" s="12">
        <v>30</v>
      </c>
    </row>
    <row r="181" spans="4:6" ht="14.5" customHeight="1" x14ac:dyDescent="0.35">
      <c r="D181" s="15">
        <v>3.25</v>
      </c>
      <c r="E181" s="12">
        <v>3</v>
      </c>
      <c r="F181" s="12">
        <f>F180+((F184-F180)*(($D181-$D180)/($D184-$D180)))</f>
        <v>32.5</v>
      </c>
    </row>
    <row r="182" spans="4:6" ht="14.5" customHeight="1" x14ac:dyDescent="0.35">
      <c r="D182" s="15">
        <v>3.5</v>
      </c>
      <c r="E182" s="12">
        <v>3</v>
      </c>
      <c r="F182" s="12">
        <f>F180+((F184-F180)*(($D182-$D180)/($D184-$D180)))</f>
        <v>35</v>
      </c>
    </row>
    <row r="183" spans="4:6" ht="14.5" customHeight="1" x14ac:dyDescent="0.35">
      <c r="D183" s="15">
        <v>3.75</v>
      </c>
      <c r="E183" s="12">
        <v>3</v>
      </c>
      <c r="F183" s="12">
        <f>F180+((F184-F180)*(($D183-$D180)/($D184-$D180)))</f>
        <v>37.5</v>
      </c>
    </row>
    <row r="184" spans="4:6" ht="14.5" customHeight="1" x14ac:dyDescent="0.35">
      <c r="D184" s="15">
        <v>4</v>
      </c>
      <c r="E184" s="12" t="s">
        <v>69</v>
      </c>
      <c r="F184" s="12">
        <v>40</v>
      </c>
    </row>
    <row r="185" spans="4:6" ht="14.5" customHeight="1" x14ac:dyDescent="0.35">
      <c r="D185" s="15">
        <v>4.2</v>
      </c>
      <c r="E185" s="12">
        <v>4</v>
      </c>
      <c r="F185" s="12">
        <f>F184+((F189-F184)*(($D185-$D184)/($D189-$D184)))</f>
        <v>42</v>
      </c>
    </row>
    <row r="186" spans="4:6" ht="14.5" customHeight="1" x14ac:dyDescent="0.35">
      <c r="D186" s="15">
        <v>4.4000000000000004</v>
      </c>
      <c r="E186" s="12">
        <v>4</v>
      </c>
      <c r="F186" s="12">
        <f>F184+((F189-F184)*(($D186-$D184)/($D189-$D184)))</f>
        <v>44</v>
      </c>
    </row>
    <row r="187" spans="4:6" ht="14.5" customHeight="1" x14ac:dyDescent="0.35">
      <c r="D187" s="15">
        <v>4.5999999999999996</v>
      </c>
      <c r="E187" s="12">
        <v>4</v>
      </c>
      <c r="F187" s="12">
        <f>F184+((F189-F184)*(($D187-$D184)/($D189-$D184)))</f>
        <v>46</v>
      </c>
    </row>
    <row r="188" spans="4:6" ht="14.5" customHeight="1" x14ac:dyDescent="0.35">
      <c r="D188" s="15">
        <v>4.8</v>
      </c>
      <c r="E188" s="12">
        <v>4</v>
      </c>
      <c r="F188" s="12">
        <f>F184+((F189-F184)*(($D188-$D184)/($D189-$D184)))</f>
        <v>48</v>
      </c>
    </row>
    <row r="189" spans="4:6" ht="14.5" customHeight="1" x14ac:dyDescent="0.35">
      <c r="D189" s="15">
        <v>5</v>
      </c>
      <c r="E189" s="12" t="s">
        <v>69</v>
      </c>
      <c r="F189" s="12">
        <v>50</v>
      </c>
    </row>
    <row r="190" spans="4:6" ht="14.5" customHeight="1" x14ac:dyDescent="0.35">
      <c r="D190" s="15">
        <f>D189+(1/6)</f>
        <v>5.166666666666667</v>
      </c>
      <c r="E190" s="12">
        <v>5</v>
      </c>
      <c r="F190" s="12">
        <f>F189+((F195-F189)*(($D190-$D189)/($D195-$D189)))</f>
        <v>51.666666666666664</v>
      </c>
    </row>
    <row r="191" spans="4:6" ht="14.5" customHeight="1" x14ac:dyDescent="0.35">
      <c r="D191" s="15">
        <f t="shared" ref="D191:D195" si="55">D190+(1/6)</f>
        <v>5.3333333333333339</v>
      </c>
      <c r="E191" s="12">
        <v>5</v>
      </c>
      <c r="F191" s="12">
        <f>F189+((F195-F189)*(($D191-$D189)/($D195-$D189)))</f>
        <v>53.333333333333336</v>
      </c>
    </row>
    <row r="192" spans="4:6" ht="14.5" customHeight="1" x14ac:dyDescent="0.35">
      <c r="D192" s="15">
        <f t="shared" si="55"/>
        <v>5.5000000000000009</v>
      </c>
      <c r="E192" s="12">
        <v>5</v>
      </c>
      <c r="F192" s="12">
        <f>F189+((F195-F189)*(($D192-$D189)/($D195-$D189)))</f>
        <v>55</v>
      </c>
    </row>
    <row r="193" spans="4:6" ht="14.5" customHeight="1" x14ac:dyDescent="0.35">
      <c r="D193" s="15">
        <f t="shared" si="55"/>
        <v>5.6666666666666679</v>
      </c>
      <c r="E193" s="12">
        <v>5</v>
      </c>
      <c r="F193" s="12">
        <f>F189+((F195-F189)*(($D193-$D189)/($D195-$D189)))</f>
        <v>56.666666666666664</v>
      </c>
    </row>
    <row r="194" spans="4:6" ht="14.5" customHeight="1" x14ac:dyDescent="0.35">
      <c r="D194" s="15">
        <f t="shared" si="55"/>
        <v>5.8333333333333348</v>
      </c>
      <c r="E194" s="12">
        <v>5</v>
      </c>
      <c r="F194" s="12">
        <f>F189+((F195-F189)*(($D194-$D189)/($D195-$D189)))</f>
        <v>58.333333333333336</v>
      </c>
    </row>
    <row r="195" spans="4:6" ht="14.5" customHeight="1" x14ac:dyDescent="0.35">
      <c r="D195" s="15">
        <f t="shared" si="55"/>
        <v>6.0000000000000018</v>
      </c>
      <c r="E195" s="12" t="s">
        <v>69</v>
      </c>
      <c r="F195" s="12">
        <v>60</v>
      </c>
    </row>
    <row r="196" spans="4:6" ht="14.5" customHeight="1" x14ac:dyDescent="0.35">
      <c r="D196" s="15">
        <f>D195+(1/7)</f>
        <v>6.142857142857145</v>
      </c>
      <c r="E196" s="12">
        <v>6</v>
      </c>
      <c r="F196" s="12">
        <f>F195+((F202-F195)*(($D196-$D195)/($D202-$D195)))</f>
        <v>61.428571428571431</v>
      </c>
    </row>
    <row r="197" spans="4:6" ht="14.5" customHeight="1" x14ac:dyDescent="0.35">
      <c r="D197" s="15">
        <f t="shared" ref="D197:D202" si="56">D196+(1/7)</f>
        <v>6.2857142857142883</v>
      </c>
      <c r="E197" s="12">
        <v>6</v>
      </c>
      <c r="F197" s="12">
        <f>F195+((F202-F195)*(($D197-$D195)/($D202-$D195)))</f>
        <v>62.857142857142854</v>
      </c>
    </row>
    <row r="198" spans="4:6" ht="14.5" customHeight="1" x14ac:dyDescent="0.35">
      <c r="D198" s="15">
        <f t="shared" si="56"/>
        <v>6.4285714285714315</v>
      </c>
      <c r="E198" s="12">
        <v>6</v>
      </c>
      <c r="F198" s="12">
        <f>F195+((F202-F195)*(($D198-$D195)/($D202-$D195)))</f>
        <v>64.285714285714292</v>
      </c>
    </row>
    <row r="199" spans="4:6" ht="14.5" customHeight="1" x14ac:dyDescent="0.35">
      <c r="D199" s="15">
        <f t="shared" si="56"/>
        <v>6.5714285714285747</v>
      </c>
      <c r="E199" s="12">
        <v>6</v>
      </c>
      <c r="F199" s="12">
        <f>F195+((F202-F195)*(($D199-$D195)/($D202-$D195)))</f>
        <v>65.714285714285708</v>
      </c>
    </row>
    <row r="200" spans="4:6" ht="14.5" customHeight="1" x14ac:dyDescent="0.35">
      <c r="D200" s="15">
        <f t="shared" si="56"/>
        <v>6.714285714285718</v>
      </c>
      <c r="E200" s="12">
        <v>6</v>
      </c>
      <c r="F200" s="12">
        <f>F195+((F202-F195)*(($D200-$D195)/($D202-$D195)))</f>
        <v>67.142857142857139</v>
      </c>
    </row>
    <row r="201" spans="4:6" ht="14.5" customHeight="1" x14ac:dyDescent="0.35">
      <c r="D201" s="15">
        <f t="shared" si="56"/>
        <v>6.8571428571428612</v>
      </c>
      <c r="E201" s="12">
        <v>6</v>
      </c>
      <c r="F201" s="12">
        <f>F195+((F202-F195)*(($D201-$D195)/($D202-$D195)))</f>
        <v>68.571428571428569</v>
      </c>
    </row>
    <row r="202" spans="4:6" ht="14.5" customHeight="1" x14ac:dyDescent="0.35">
      <c r="D202" s="15">
        <f t="shared" si="56"/>
        <v>7.0000000000000044</v>
      </c>
      <c r="E202" s="12" t="s">
        <v>69</v>
      </c>
      <c r="F202" s="12">
        <v>70</v>
      </c>
    </row>
    <row r="203" spans="4:6" ht="14.5" customHeight="1" x14ac:dyDescent="0.35">
      <c r="D203" s="15">
        <v>9</v>
      </c>
      <c r="E203" s="25" t="s">
        <v>69</v>
      </c>
      <c r="F203" s="25">
        <v>90</v>
      </c>
    </row>
    <row r="204" spans="4:6" ht="14.5" customHeight="1" x14ac:dyDescent="0.35">
      <c r="D204" s="15">
        <f>D203+(1/11)</f>
        <v>9.0909090909090917</v>
      </c>
      <c r="E204" s="25">
        <v>10</v>
      </c>
      <c r="F204" s="12">
        <f>F203+((F214-F203)*(($D204-$D203)/($D214-$D203)))</f>
        <v>90.909090909090921</v>
      </c>
    </row>
    <row r="205" spans="4:6" ht="14.5" customHeight="1" x14ac:dyDescent="0.35">
      <c r="D205" s="15">
        <f t="shared" ref="D205:D213" si="57">D204+(1/11)</f>
        <v>9.1818181818181834</v>
      </c>
      <c r="E205" s="25">
        <v>10</v>
      </c>
      <c r="F205" s="12">
        <f>F203+((F214-F203)*(($D205-$D203)/($D214-$D203)))</f>
        <v>91.818181818181841</v>
      </c>
    </row>
    <row r="206" spans="4:6" ht="14.5" customHeight="1" x14ac:dyDescent="0.35">
      <c r="D206" s="15">
        <f t="shared" si="57"/>
        <v>9.2727272727272751</v>
      </c>
      <c r="E206" s="25">
        <v>10</v>
      </c>
      <c r="F206" s="12">
        <f>F203+((F214-F203)*(($D206-$D203)/($D214-$D203)))</f>
        <v>92.727272727272748</v>
      </c>
    </row>
    <row r="207" spans="4:6" ht="14.5" customHeight="1" x14ac:dyDescent="0.35">
      <c r="D207" s="15">
        <f t="shared" si="57"/>
        <v>9.3636363636363669</v>
      </c>
      <c r="E207" s="25">
        <v>10</v>
      </c>
      <c r="F207" s="12">
        <f>F203+((F214-F203)*(($D207-$D203)/($D214-$D203)))</f>
        <v>93.636363636363669</v>
      </c>
    </row>
    <row r="208" spans="4:6" ht="14.5" customHeight="1" x14ac:dyDescent="0.35">
      <c r="D208" s="15">
        <f t="shared" si="57"/>
        <v>9.4545454545454586</v>
      </c>
      <c r="E208" s="25">
        <v>10</v>
      </c>
      <c r="F208" s="12">
        <f>F203+((F214-F203)*(($D208-$D203)/($D214-$D203)))</f>
        <v>94.545454545454589</v>
      </c>
    </row>
    <row r="209" spans="4:6" ht="14.5" customHeight="1" x14ac:dyDescent="0.35">
      <c r="D209" s="15">
        <f t="shared" si="57"/>
        <v>9.5454545454545503</v>
      </c>
      <c r="E209" s="25">
        <v>10</v>
      </c>
      <c r="F209" s="12">
        <f>F203+((F214-F203)*(($D209-$D203)/($D214-$D203)))</f>
        <v>95.454545454545496</v>
      </c>
    </row>
    <row r="210" spans="4:6" ht="14.5" customHeight="1" x14ac:dyDescent="0.35">
      <c r="D210" s="15">
        <f t="shared" si="57"/>
        <v>9.636363636363642</v>
      </c>
      <c r="E210" s="25">
        <v>10</v>
      </c>
      <c r="F210" s="12">
        <f>F203+((F214-F203)*(($D210-$D203)/($D214-$D203)))</f>
        <v>96.363636363636417</v>
      </c>
    </row>
    <row r="211" spans="4:6" ht="14.5" customHeight="1" x14ac:dyDescent="0.35">
      <c r="D211" s="15">
        <f t="shared" si="57"/>
        <v>9.7272727272727337</v>
      </c>
      <c r="E211" s="25">
        <v>10</v>
      </c>
      <c r="F211" s="12">
        <f>F203+((F214-F203)*(($D211-$D203)/($D214-$D203)))</f>
        <v>97.272727272727337</v>
      </c>
    </row>
    <row r="212" spans="4:6" ht="14.5" customHeight="1" x14ac:dyDescent="0.35">
      <c r="D212" s="15">
        <f t="shared" si="57"/>
        <v>9.8181818181818254</v>
      </c>
      <c r="E212" s="25">
        <v>10</v>
      </c>
      <c r="F212" s="12">
        <f>F203+((F214-F203)*(($D212-$D203)/($D214-$D203)))</f>
        <v>98.181818181818258</v>
      </c>
    </row>
    <row r="213" spans="4:6" ht="14.5" customHeight="1" x14ac:dyDescent="0.35">
      <c r="D213" s="15">
        <f t="shared" si="57"/>
        <v>9.9090909090909172</v>
      </c>
      <c r="E213" s="25">
        <v>10</v>
      </c>
      <c r="F213" s="12">
        <f>F203+((F214-F203)*(($D213-$D203)/($D214-$D203)))</f>
        <v>99.090909090909179</v>
      </c>
    </row>
    <row r="214" spans="4:6" ht="14.5" customHeight="1" x14ac:dyDescent="0.35">
      <c r="D214" s="15">
        <v>10</v>
      </c>
      <c r="E214" s="25" t="s">
        <v>69</v>
      </c>
      <c r="F214" s="25">
        <v>100</v>
      </c>
    </row>
  </sheetData>
  <printOptions horizontalCentered="1" gridLines="1"/>
  <pageMargins left="0.2" right="0.2" top="0.5" bottom="0.5" header="0.3" footer="0.3"/>
  <pageSetup scale="63" fitToHeight="0" orientation="portrait" r:id="rId1"/>
  <headerFooter>
    <oddHeader>&amp;L&amp;A&amp;R&amp;D &amp;T</oddHeader>
    <oddFooter>&amp;LPage &amp;P of &amp;N&amp;R&amp;Z&amp;F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4"/>
  <sheetViews>
    <sheetView workbookViewId="0">
      <selection activeCell="A2" sqref="A2:G21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1</v>
      </c>
      <c r="F1" s="21" t="s">
        <v>15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19</v>
      </c>
      <c r="B3" s="21">
        <v>1</v>
      </c>
      <c r="C3" s="21">
        <f t="shared" ref="C3:C9" si="0">A3+(B3/12)</f>
        <v>19.083333333333332</v>
      </c>
      <c r="D3" s="21">
        <v>0.8</v>
      </c>
      <c r="E3" s="21">
        <v>0.11</v>
      </c>
    </row>
    <row r="4" spans="1:6" ht="14.5" customHeight="1" x14ac:dyDescent="0.35">
      <c r="A4" s="21">
        <v>19</v>
      </c>
      <c r="B4" s="21">
        <v>5</v>
      </c>
      <c r="C4" s="21">
        <f t="shared" si="0"/>
        <v>19.416666666666668</v>
      </c>
      <c r="D4" s="21">
        <v>0.65</v>
      </c>
      <c r="E4" s="21">
        <v>0.15</v>
      </c>
    </row>
    <row r="5" spans="1:6" ht="14.5" customHeight="1" x14ac:dyDescent="0.35">
      <c r="A5" s="21">
        <v>20</v>
      </c>
      <c r="B5" s="21">
        <v>6</v>
      </c>
      <c r="C5" s="21">
        <f t="shared" si="0"/>
        <v>20.5</v>
      </c>
      <c r="F5" s="21" t="s">
        <v>20</v>
      </c>
    </row>
    <row r="6" spans="1:6" ht="14.5" customHeight="1" x14ac:dyDescent="0.35">
      <c r="A6" s="21">
        <v>20</v>
      </c>
      <c r="B6" s="21">
        <v>6</v>
      </c>
      <c r="C6" s="21">
        <f t="shared" si="0"/>
        <v>20.5</v>
      </c>
      <c r="D6" s="21">
        <v>0.6</v>
      </c>
      <c r="E6" s="21">
        <v>0.15</v>
      </c>
      <c r="F6" s="21" t="s">
        <v>38</v>
      </c>
    </row>
    <row r="7" spans="1:6" ht="14.5" customHeight="1" x14ac:dyDescent="0.35">
      <c r="A7" s="21">
        <v>22</v>
      </c>
      <c r="B7" s="21">
        <v>10</v>
      </c>
      <c r="C7" s="21">
        <f t="shared" si="0"/>
        <v>22.833333333333332</v>
      </c>
      <c r="F7" s="21" t="s">
        <v>20</v>
      </c>
    </row>
    <row r="8" spans="1:6" ht="14.5" customHeight="1" x14ac:dyDescent="0.35">
      <c r="A8" s="21">
        <v>23</v>
      </c>
      <c r="B8" s="21">
        <v>1</v>
      </c>
      <c r="C8" s="21">
        <f t="shared" si="0"/>
        <v>23.083333333333332</v>
      </c>
      <c r="D8" s="21">
        <v>0.6</v>
      </c>
      <c r="E8" s="21">
        <v>2.84</v>
      </c>
    </row>
    <row r="9" spans="1:6" ht="14.5" customHeight="1" x14ac:dyDescent="0.35">
      <c r="A9" s="21">
        <v>23</v>
      </c>
      <c r="B9" s="21">
        <v>4</v>
      </c>
      <c r="C9" s="21">
        <f t="shared" si="0"/>
        <v>23.333333333333332</v>
      </c>
      <c r="F9" s="21" t="s">
        <v>20</v>
      </c>
    </row>
    <row r="10" spans="1:6" ht="14.5" customHeight="1" x14ac:dyDescent="0.35">
      <c r="A10" s="21">
        <v>24</v>
      </c>
      <c r="B10" s="21">
        <v>9</v>
      </c>
      <c r="C10" s="21">
        <f t="shared" ref="C10:C21" si="1">A10+(B10/12)</f>
        <v>24.75</v>
      </c>
      <c r="D10" s="21">
        <v>0.3</v>
      </c>
      <c r="E10" s="21">
        <v>0</v>
      </c>
    </row>
    <row r="11" spans="1:6" ht="14.5" customHeight="1" x14ac:dyDescent="0.35">
      <c r="A11" s="21">
        <v>25</v>
      </c>
      <c r="B11" s="21">
        <v>9</v>
      </c>
      <c r="C11" s="21">
        <f t="shared" si="1"/>
        <v>25.75</v>
      </c>
      <c r="D11" s="21">
        <v>0.6</v>
      </c>
      <c r="F11" s="21" t="s">
        <v>20</v>
      </c>
    </row>
    <row r="12" spans="1:6" ht="14.5" customHeight="1" x14ac:dyDescent="0.35">
      <c r="A12" s="21">
        <v>25</v>
      </c>
      <c r="B12" s="21">
        <v>9</v>
      </c>
      <c r="C12" s="21">
        <f t="shared" si="1"/>
        <v>25.75</v>
      </c>
      <c r="D12" s="21">
        <v>0.6</v>
      </c>
      <c r="E12" s="21">
        <v>1.5</v>
      </c>
    </row>
    <row r="13" spans="1:6" ht="14.5" customHeight="1" x14ac:dyDescent="0.35">
      <c r="A13" s="21">
        <v>26</v>
      </c>
      <c r="B13" s="21">
        <v>11</v>
      </c>
      <c r="C13" s="21">
        <f t="shared" si="1"/>
        <v>26.916666666666668</v>
      </c>
      <c r="F13" s="21" t="s">
        <v>20</v>
      </c>
    </row>
    <row r="14" spans="1:6" ht="14.5" customHeight="1" x14ac:dyDescent="0.35">
      <c r="A14" s="21">
        <v>27</v>
      </c>
      <c r="B14" s="21">
        <v>11</v>
      </c>
      <c r="C14" s="21">
        <f t="shared" si="1"/>
        <v>27.916666666666668</v>
      </c>
      <c r="D14" s="21">
        <v>0.5</v>
      </c>
      <c r="E14" s="21">
        <v>0.12</v>
      </c>
    </row>
    <row r="15" spans="1:6" ht="14.5" customHeight="1" x14ac:dyDescent="0.35">
      <c r="A15" s="21">
        <v>28</v>
      </c>
      <c r="B15" s="21">
        <v>11</v>
      </c>
      <c r="C15" s="21">
        <f t="shared" si="1"/>
        <v>28.916666666666668</v>
      </c>
      <c r="D15" s="21">
        <v>0.5</v>
      </c>
      <c r="F15" s="21" t="s">
        <v>20</v>
      </c>
    </row>
    <row r="16" spans="1:6" ht="14.5" customHeight="1" x14ac:dyDescent="0.35">
      <c r="A16" s="21">
        <v>28</v>
      </c>
      <c r="B16" s="21">
        <v>11</v>
      </c>
      <c r="C16" s="21">
        <f t="shared" si="1"/>
        <v>28.916666666666668</v>
      </c>
      <c r="D16" s="21">
        <v>0.5</v>
      </c>
      <c r="E16" s="21">
        <v>3.2</v>
      </c>
    </row>
    <row r="17" spans="1:6" ht="14.5" customHeight="1" x14ac:dyDescent="0.35">
      <c r="A17" s="21">
        <v>30</v>
      </c>
      <c r="B17" s="21">
        <v>11</v>
      </c>
      <c r="C17" s="21">
        <f t="shared" si="1"/>
        <v>30.916666666666668</v>
      </c>
      <c r="F17" s="21" t="s">
        <v>20</v>
      </c>
    </row>
    <row r="18" spans="1:6" ht="14.5" customHeight="1" x14ac:dyDescent="0.35">
      <c r="A18" s="21">
        <v>33</v>
      </c>
      <c r="B18" s="21">
        <v>8</v>
      </c>
      <c r="C18" s="21">
        <f t="shared" si="1"/>
        <v>33.666666666666664</v>
      </c>
      <c r="D18" s="21">
        <v>0.5</v>
      </c>
      <c r="E18" s="21">
        <v>0.65</v>
      </c>
    </row>
    <row r="19" spans="1:6" ht="14.5" customHeight="1" x14ac:dyDescent="0.35">
      <c r="A19" s="21">
        <v>34</v>
      </c>
      <c r="B19" s="21">
        <v>4</v>
      </c>
      <c r="C19" s="21">
        <f t="shared" si="1"/>
        <v>34.333333333333336</v>
      </c>
      <c r="D19" s="21">
        <v>0.4</v>
      </c>
      <c r="F19" s="21" t="s">
        <v>20</v>
      </c>
    </row>
    <row r="20" spans="1:6" ht="14.5" customHeight="1" x14ac:dyDescent="0.35">
      <c r="A20" s="21">
        <v>34</v>
      </c>
      <c r="B20" s="21">
        <v>4</v>
      </c>
      <c r="C20" s="21">
        <f t="shared" si="1"/>
        <v>34.333333333333336</v>
      </c>
      <c r="D20" s="21">
        <v>0.4</v>
      </c>
      <c r="E20" s="21">
        <v>0</v>
      </c>
    </row>
    <row r="21" spans="1:6" ht="14.5" customHeight="1" x14ac:dyDescent="0.35">
      <c r="A21" s="21">
        <v>36</v>
      </c>
      <c r="B21" s="21">
        <v>3</v>
      </c>
      <c r="C21" s="21">
        <f t="shared" si="1"/>
        <v>36.25</v>
      </c>
      <c r="F21" s="21" t="s">
        <v>20</v>
      </c>
    </row>
    <row r="34" spans="1:1" ht="14.5" customHeight="1" x14ac:dyDescent="0.35">
      <c r="A34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4"/>
  <sheetViews>
    <sheetView workbookViewId="0">
      <selection activeCell="A2" sqref="A2:F13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2</v>
      </c>
      <c r="F1" s="21" t="s">
        <v>16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19</v>
      </c>
      <c r="B3" s="21">
        <v>1</v>
      </c>
      <c r="C3" s="21">
        <f t="shared" ref="C3:C9" si="0">A3+(B3/12)</f>
        <v>19.083333333333332</v>
      </c>
      <c r="D3" s="21">
        <v>0.78</v>
      </c>
      <c r="E3" s="21">
        <v>0.61</v>
      </c>
    </row>
    <row r="4" spans="1:6" ht="14.5" customHeight="1" x14ac:dyDescent="0.35">
      <c r="A4" s="21">
        <v>19</v>
      </c>
      <c r="B4" s="21">
        <v>5</v>
      </c>
      <c r="C4" s="21">
        <f t="shared" si="0"/>
        <v>19.416666666666668</v>
      </c>
      <c r="D4" s="21">
        <v>0.8</v>
      </c>
      <c r="E4" s="21">
        <v>0.48</v>
      </c>
    </row>
    <row r="5" spans="1:6" ht="14.5" customHeight="1" x14ac:dyDescent="0.35">
      <c r="A5" s="21">
        <v>20</v>
      </c>
      <c r="B5" s="21">
        <v>6</v>
      </c>
      <c r="C5" s="21">
        <f t="shared" si="0"/>
        <v>20.5</v>
      </c>
      <c r="D5" s="21">
        <v>0.85</v>
      </c>
      <c r="E5" s="21">
        <v>1.83</v>
      </c>
    </row>
    <row r="6" spans="1:6" ht="14.5" customHeight="1" x14ac:dyDescent="0.35">
      <c r="A6" s="21">
        <v>23</v>
      </c>
      <c r="B6" s="21">
        <v>1</v>
      </c>
      <c r="C6" s="21">
        <f t="shared" si="0"/>
        <v>23.083333333333332</v>
      </c>
      <c r="D6" s="21">
        <v>0.7</v>
      </c>
      <c r="E6" s="21">
        <v>1.1499999999999999</v>
      </c>
    </row>
    <row r="7" spans="1:6" ht="14.5" customHeight="1" x14ac:dyDescent="0.35">
      <c r="A7" s="21">
        <v>25</v>
      </c>
      <c r="B7" s="21">
        <v>3</v>
      </c>
      <c r="C7" s="21">
        <f t="shared" si="0"/>
        <v>25.25</v>
      </c>
      <c r="D7" s="21">
        <v>0.55000000000000004</v>
      </c>
      <c r="E7" s="21">
        <v>-0.26</v>
      </c>
    </row>
    <row r="8" spans="1:6" ht="14.5" customHeight="1" x14ac:dyDescent="0.35">
      <c r="A8" s="21">
        <v>26</v>
      </c>
      <c r="B8" s="21">
        <v>4</v>
      </c>
      <c r="C8" s="21">
        <f t="shared" si="0"/>
        <v>26.333333333333332</v>
      </c>
      <c r="D8" s="21">
        <v>0.7</v>
      </c>
      <c r="E8" s="21">
        <v>2.69</v>
      </c>
    </row>
    <row r="9" spans="1:6" ht="14.5" customHeight="1" x14ac:dyDescent="0.35">
      <c r="A9" s="21">
        <v>28</v>
      </c>
      <c r="B9" s="21">
        <v>5</v>
      </c>
      <c r="C9" s="21">
        <f t="shared" si="0"/>
        <v>28.416666666666668</v>
      </c>
      <c r="D9" s="21">
        <v>0.68</v>
      </c>
      <c r="E9" s="21">
        <v>2.39</v>
      </c>
    </row>
    <row r="10" spans="1:6" ht="14.5" customHeight="1" x14ac:dyDescent="0.35">
      <c r="A10" s="21">
        <v>29</v>
      </c>
      <c r="B10" s="21">
        <v>11</v>
      </c>
      <c r="C10" s="21">
        <f t="shared" ref="C10:C13" si="1">A10+(B10/12)</f>
        <v>29.916666666666668</v>
      </c>
      <c r="D10" s="21">
        <v>0.95</v>
      </c>
      <c r="E10" s="21">
        <v>1.52</v>
      </c>
    </row>
    <row r="11" spans="1:6" ht="14.5" customHeight="1" x14ac:dyDescent="0.35">
      <c r="A11" s="21">
        <v>33</v>
      </c>
      <c r="B11" s="21">
        <v>8</v>
      </c>
      <c r="C11" s="21">
        <f t="shared" si="1"/>
        <v>33.666666666666664</v>
      </c>
      <c r="D11" s="21">
        <v>0.74</v>
      </c>
      <c r="E11" s="21">
        <v>0.93</v>
      </c>
    </row>
    <row r="12" spans="1:6" ht="14.5" customHeight="1" x14ac:dyDescent="0.35">
      <c r="A12" s="21">
        <v>35</v>
      </c>
      <c r="B12" s="21">
        <v>4</v>
      </c>
      <c r="C12" s="21">
        <f t="shared" si="1"/>
        <v>35.333333333333336</v>
      </c>
      <c r="D12" s="21">
        <v>0.8</v>
      </c>
      <c r="E12" s="21">
        <v>-0.27</v>
      </c>
    </row>
    <row r="13" spans="1:6" ht="14.5" customHeight="1" x14ac:dyDescent="0.35">
      <c r="A13" s="21">
        <v>36</v>
      </c>
      <c r="B13" s="21">
        <v>10</v>
      </c>
      <c r="C13" s="21">
        <f t="shared" si="1"/>
        <v>36.833333333333336</v>
      </c>
      <c r="D13" s="21">
        <v>0.37</v>
      </c>
      <c r="F13" s="21" t="s">
        <v>36</v>
      </c>
    </row>
    <row r="34" spans="1:1" ht="14.5" customHeight="1" x14ac:dyDescent="0.35">
      <c r="A34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4"/>
  <sheetViews>
    <sheetView workbookViewId="0">
      <selection activeCell="A2" sqref="A2:F27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3</v>
      </c>
      <c r="F1" s="21" t="s">
        <v>18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16</v>
      </c>
      <c r="B3" s="21">
        <v>2</v>
      </c>
      <c r="C3" s="21">
        <f t="shared" ref="C3:C9" si="0">A3+(B3/12)</f>
        <v>16.166666666666668</v>
      </c>
      <c r="F3" s="21" t="s">
        <v>39</v>
      </c>
    </row>
    <row r="4" spans="1:6" ht="14.5" customHeight="1" x14ac:dyDescent="0.35">
      <c r="A4" s="21">
        <v>16</v>
      </c>
      <c r="B4" s="21">
        <v>8</v>
      </c>
      <c r="C4" s="21">
        <f t="shared" si="0"/>
        <v>16.666666666666668</v>
      </c>
      <c r="D4" s="21">
        <v>0.5</v>
      </c>
      <c r="E4" s="21">
        <v>0</v>
      </c>
    </row>
    <row r="5" spans="1:6" ht="14.5" customHeight="1" x14ac:dyDescent="0.35">
      <c r="A5" s="21">
        <v>17</v>
      </c>
      <c r="B5" s="21">
        <v>0</v>
      </c>
      <c r="C5" s="21">
        <f t="shared" si="0"/>
        <v>17</v>
      </c>
      <c r="F5" s="21" t="s">
        <v>40</v>
      </c>
    </row>
    <row r="6" spans="1:6" ht="14.5" customHeight="1" x14ac:dyDescent="0.35">
      <c r="A6" s="21">
        <v>18</v>
      </c>
      <c r="B6" s="21">
        <v>11</v>
      </c>
      <c r="C6" s="21">
        <f t="shared" si="0"/>
        <v>18.916666666666668</v>
      </c>
      <c r="F6" s="21" t="s">
        <v>41</v>
      </c>
    </row>
    <row r="7" spans="1:6" ht="14.5" customHeight="1" x14ac:dyDescent="0.35">
      <c r="A7" s="21">
        <v>20</v>
      </c>
      <c r="B7" s="21">
        <v>4</v>
      </c>
      <c r="C7" s="21">
        <f t="shared" si="0"/>
        <v>20.333333333333332</v>
      </c>
      <c r="D7" s="21">
        <v>1</v>
      </c>
      <c r="E7" s="21">
        <v>2.3199999999999998</v>
      </c>
    </row>
    <row r="8" spans="1:6" ht="14.5" customHeight="1" x14ac:dyDescent="0.35">
      <c r="A8" s="21">
        <v>22</v>
      </c>
      <c r="B8" s="21">
        <v>0</v>
      </c>
      <c r="C8" s="21">
        <f t="shared" si="0"/>
        <v>22</v>
      </c>
      <c r="D8" s="21">
        <v>0.8</v>
      </c>
      <c r="F8" s="21" t="s">
        <v>20</v>
      </c>
    </row>
    <row r="9" spans="1:6" ht="14.5" customHeight="1" x14ac:dyDescent="0.35">
      <c r="A9" s="21">
        <v>22</v>
      </c>
      <c r="B9" s="21">
        <v>11</v>
      </c>
      <c r="C9" s="21">
        <f t="shared" si="0"/>
        <v>22.916666666666668</v>
      </c>
      <c r="D9" s="21">
        <v>0.9</v>
      </c>
      <c r="E9" s="21">
        <v>1.48</v>
      </c>
    </row>
    <row r="10" spans="1:6" ht="14.5" customHeight="1" x14ac:dyDescent="0.35">
      <c r="A10" s="21">
        <v>23</v>
      </c>
      <c r="B10" s="21">
        <v>6</v>
      </c>
      <c r="C10" s="21">
        <f t="shared" ref="C10:C27" si="1">A10+(B10/12)</f>
        <v>23.5</v>
      </c>
      <c r="D10" s="21">
        <v>1</v>
      </c>
      <c r="F10" s="21" t="s">
        <v>20</v>
      </c>
    </row>
    <row r="11" spans="1:6" ht="14.5" customHeight="1" x14ac:dyDescent="0.35">
      <c r="A11" s="21">
        <v>24</v>
      </c>
      <c r="B11" s="21">
        <v>6</v>
      </c>
      <c r="C11" s="21">
        <f t="shared" si="1"/>
        <v>24.5</v>
      </c>
      <c r="D11" s="21">
        <v>0.5</v>
      </c>
      <c r="F11" s="21" t="s">
        <v>42</v>
      </c>
    </row>
    <row r="12" spans="1:6" ht="14.5" customHeight="1" x14ac:dyDescent="0.35">
      <c r="A12" s="21">
        <v>25</v>
      </c>
      <c r="B12" s="21">
        <v>4</v>
      </c>
      <c r="C12" s="21">
        <f t="shared" si="1"/>
        <v>25.333333333333332</v>
      </c>
      <c r="D12" s="21">
        <v>0.5</v>
      </c>
      <c r="E12" s="21">
        <v>0.34</v>
      </c>
    </row>
    <row r="13" spans="1:6" ht="14.5" customHeight="1" x14ac:dyDescent="0.35">
      <c r="A13" s="21">
        <v>25</v>
      </c>
      <c r="B13" s="21">
        <v>8</v>
      </c>
      <c r="C13" s="21">
        <f t="shared" si="1"/>
        <v>25.666666666666668</v>
      </c>
      <c r="D13" s="21">
        <v>0.5</v>
      </c>
      <c r="F13" s="21" t="s">
        <v>20</v>
      </c>
    </row>
    <row r="14" spans="1:6" ht="14.5" customHeight="1" x14ac:dyDescent="0.35">
      <c r="A14" s="21">
        <v>26</v>
      </c>
      <c r="B14" s="21">
        <v>10</v>
      </c>
      <c r="C14" s="21">
        <f t="shared" si="1"/>
        <v>26.833333333333332</v>
      </c>
      <c r="D14" s="21">
        <v>0.7</v>
      </c>
      <c r="E14" s="21">
        <v>3.77</v>
      </c>
    </row>
    <row r="15" spans="1:6" ht="14.5" customHeight="1" x14ac:dyDescent="0.35">
      <c r="A15" s="21">
        <v>27</v>
      </c>
      <c r="B15" s="21">
        <v>5</v>
      </c>
      <c r="C15" s="21">
        <f t="shared" si="1"/>
        <v>27.416666666666668</v>
      </c>
      <c r="D15" s="21">
        <v>0.4</v>
      </c>
      <c r="F15" s="21" t="s">
        <v>20</v>
      </c>
    </row>
    <row r="16" spans="1:6" ht="14.5" customHeight="1" x14ac:dyDescent="0.35">
      <c r="A16" s="21">
        <v>28</v>
      </c>
      <c r="B16" s="21">
        <v>4</v>
      </c>
      <c r="C16" s="21">
        <f t="shared" si="1"/>
        <v>28.333333333333332</v>
      </c>
      <c r="D16" s="21">
        <v>0.75</v>
      </c>
      <c r="E16" s="21">
        <v>1.01</v>
      </c>
    </row>
    <row r="17" spans="1:6" ht="14.5" customHeight="1" x14ac:dyDescent="0.35">
      <c r="A17" s="21">
        <v>29</v>
      </c>
      <c r="B17" s="21">
        <v>0</v>
      </c>
      <c r="C17" s="21">
        <f t="shared" si="1"/>
        <v>29</v>
      </c>
      <c r="D17" s="21">
        <v>0.48</v>
      </c>
      <c r="F17" s="21" t="s">
        <v>20</v>
      </c>
    </row>
    <row r="18" spans="1:6" ht="14.5" customHeight="1" x14ac:dyDescent="0.35">
      <c r="A18" s="21">
        <v>30</v>
      </c>
      <c r="B18" s="21">
        <v>0</v>
      </c>
      <c r="C18" s="21">
        <f t="shared" si="1"/>
        <v>30</v>
      </c>
      <c r="D18" s="21">
        <v>1.23</v>
      </c>
      <c r="E18" s="21">
        <v>3.74</v>
      </c>
    </row>
    <row r="19" spans="1:6" ht="14.5" customHeight="1" x14ac:dyDescent="0.35">
      <c r="A19" s="21">
        <v>30</v>
      </c>
      <c r="B19" s="21">
        <v>9</v>
      </c>
      <c r="C19" s="21">
        <f t="shared" si="1"/>
        <v>30.75</v>
      </c>
      <c r="D19" s="21">
        <v>0.78</v>
      </c>
      <c r="F19" s="21" t="s">
        <v>20</v>
      </c>
    </row>
    <row r="20" spans="1:6" ht="14.5" customHeight="1" x14ac:dyDescent="0.35">
      <c r="A20" s="21">
        <v>31</v>
      </c>
      <c r="B20" s="21">
        <v>1</v>
      </c>
      <c r="C20" s="21">
        <f t="shared" si="1"/>
        <v>31.083333333333332</v>
      </c>
      <c r="D20" s="21">
        <v>1.2</v>
      </c>
      <c r="E20" s="21">
        <v>-0.32</v>
      </c>
    </row>
    <row r="21" spans="1:6" ht="14.5" customHeight="1" x14ac:dyDescent="0.35">
      <c r="A21" s="21">
        <v>32</v>
      </c>
      <c r="B21" s="21">
        <v>0</v>
      </c>
      <c r="C21" s="21">
        <f t="shared" si="1"/>
        <v>32</v>
      </c>
      <c r="D21" s="21">
        <v>0.96</v>
      </c>
      <c r="F21" s="21" t="s">
        <v>20</v>
      </c>
    </row>
    <row r="22" spans="1:6" ht="14.5" customHeight="1" x14ac:dyDescent="0.35">
      <c r="A22" s="21">
        <v>32</v>
      </c>
      <c r="B22" s="21">
        <v>8</v>
      </c>
      <c r="C22" s="21">
        <f t="shared" si="1"/>
        <v>32.666666666666664</v>
      </c>
      <c r="D22" s="21">
        <v>0.98</v>
      </c>
      <c r="E22" s="21">
        <v>1.47</v>
      </c>
    </row>
    <row r="23" spans="1:6" ht="14.5" customHeight="1" x14ac:dyDescent="0.35">
      <c r="A23" s="21">
        <v>34</v>
      </c>
      <c r="B23" s="21">
        <v>2</v>
      </c>
      <c r="C23" s="21">
        <f t="shared" si="1"/>
        <v>34.166666666666664</v>
      </c>
      <c r="D23" s="21">
        <v>1.08</v>
      </c>
      <c r="F23" s="21" t="s">
        <v>20</v>
      </c>
    </row>
    <row r="24" spans="1:6" ht="14.5" customHeight="1" x14ac:dyDescent="0.35">
      <c r="A24" s="21">
        <v>35</v>
      </c>
      <c r="B24" s="21">
        <v>3</v>
      </c>
      <c r="C24" s="21">
        <f t="shared" si="1"/>
        <v>35.25</v>
      </c>
      <c r="D24" s="21">
        <v>1.04</v>
      </c>
      <c r="E24" s="21">
        <v>-0.1</v>
      </c>
    </row>
    <row r="25" spans="1:6" ht="14.5" customHeight="1" x14ac:dyDescent="0.35">
      <c r="A25" s="21">
        <v>36</v>
      </c>
      <c r="B25" s="21">
        <v>5</v>
      </c>
      <c r="C25" s="21">
        <f t="shared" si="1"/>
        <v>36.416666666666664</v>
      </c>
      <c r="D25" s="21">
        <v>0.78</v>
      </c>
      <c r="F25" s="21" t="s">
        <v>20</v>
      </c>
    </row>
    <row r="26" spans="1:6" ht="14.5" customHeight="1" x14ac:dyDescent="0.35">
      <c r="A26" s="21">
        <v>37</v>
      </c>
      <c r="B26" s="21">
        <v>0</v>
      </c>
      <c r="C26" s="21">
        <f t="shared" si="1"/>
        <v>37</v>
      </c>
      <c r="D26" s="21">
        <v>0</v>
      </c>
      <c r="E26" s="21">
        <v>0</v>
      </c>
    </row>
    <row r="27" spans="1:6" ht="14.5" customHeight="1" x14ac:dyDescent="0.35">
      <c r="A27" s="21">
        <v>37</v>
      </c>
      <c r="B27" s="21">
        <v>0</v>
      </c>
      <c r="C27" s="21">
        <f t="shared" si="1"/>
        <v>37</v>
      </c>
      <c r="D27" s="21">
        <v>0</v>
      </c>
      <c r="F27" s="21" t="s">
        <v>20</v>
      </c>
    </row>
    <row r="34" spans="1:1" ht="14.5" customHeight="1" x14ac:dyDescent="0.35">
      <c r="A34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3"/>
  <sheetViews>
    <sheetView workbookViewId="0">
      <selection activeCell="C15" sqref="C15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4</v>
      </c>
      <c r="F1" s="21" t="s">
        <v>24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19</v>
      </c>
      <c r="B3" s="21">
        <v>1</v>
      </c>
      <c r="C3" s="21">
        <f t="shared" ref="C3:C7" si="0">A3+(B3/12)</f>
        <v>19.083333333333332</v>
      </c>
      <c r="D3" s="21">
        <v>0.75</v>
      </c>
      <c r="E3" s="21">
        <v>1.57</v>
      </c>
    </row>
    <row r="4" spans="1:6" ht="14.5" customHeight="1" x14ac:dyDescent="0.35">
      <c r="A4" s="21">
        <v>19</v>
      </c>
      <c r="B4" s="21">
        <v>5</v>
      </c>
      <c r="C4" s="21">
        <f t="shared" si="0"/>
        <v>19.416666666666668</v>
      </c>
      <c r="D4" s="21">
        <v>0.6</v>
      </c>
      <c r="E4" s="21">
        <v>2.12</v>
      </c>
    </row>
    <row r="5" spans="1:6" ht="14.5" customHeight="1" x14ac:dyDescent="0.35">
      <c r="A5" s="21">
        <v>20</v>
      </c>
      <c r="B5" s="21">
        <v>6</v>
      </c>
      <c r="C5" s="21">
        <f t="shared" si="0"/>
        <v>20.5</v>
      </c>
      <c r="D5" s="21">
        <v>0.6</v>
      </c>
      <c r="E5" s="21">
        <v>2.83</v>
      </c>
    </row>
    <row r="6" spans="1:6" ht="14.5" customHeight="1" x14ac:dyDescent="0.35">
      <c r="A6" s="21">
        <v>23</v>
      </c>
      <c r="B6" s="21">
        <v>1</v>
      </c>
      <c r="C6" s="21">
        <f t="shared" si="0"/>
        <v>23.083333333333332</v>
      </c>
      <c r="D6" s="21">
        <v>1.3</v>
      </c>
      <c r="E6" s="21">
        <v>2.83</v>
      </c>
    </row>
    <row r="7" spans="1:6" ht="14.5" customHeight="1" x14ac:dyDescent="0.35">
      <c r="A7" s="21">
        <v>24</v>
      </c>
      <c r="B7" s="21">
        <v>9</v>
      </c>
      <c r="C7" s="21">
        <f t="shared" si="0"/>
        <v>24.75</v>
      </c>
      <c r="D7" s="21">
        <v>0.3</v>
      </c>
      <c r="F7" s="21" t="s">
        <v>37</v>
      </c>
    </row>
    <row r="8" spans="1:6" ht="14.5" customHeight="1" x14ac:dyDescent="0.35">
      <c r="A8" s="21">
        <v>25</v>
      </c>
      <c r="B8" s="21">
        <v>3</v>
      </c>
      <c r="C8" s="21">
        <f t="shared" ref="C8:C20" si="1">A8+(B8/12)</f>
        <v>25.25</v>
      </c>
      <c r="D8" s="21">
        <v>0.3</v>
      </c>
      <c r="F8" s="21" t="s">
        <v>43</v>
      </c>
    </row>
    <row r="9" spans="1:6" ht="14.5" customHeight="1" x14ac:dyDescent="0.35">
      <c r="A9" s="21">
        <v>25</v>
      </c>
      <c r="B9" s="21">
        <v>9</v>
      </c>
      <c r="C9" s="21">
        <f t="shared" si="1"/>
        <v>25.75</v>
      </c>
      <c r="F9" s="21" t="s">
        <v>20</v>
      </c>
    </row>
    <row r="10" spans="1:6" ht="14.5" customHeight="1" x14ac:dyDescent="0.35">
      <c r="A10" s="21">
        <v>26</v>
      </c>
      <c r="B10" s="21">
        <v>4</v>
      </c>
      <c r="C10" s="21">
        <f t="shared" ref="C10" si="2">A10+(B10/12)</f>
        <v>26.333333333333332</v>
      </c>
      <c r="D10" s="21">
        <v>1.2</v>
      </c>
      <c r="E10" s="21">
        <v>3.4</v>
      </c>
    </row>
    <row r="11" spans="1:6" ht="14.5" customHeight="1" x14ac:dyDescent="0.35">
      <c r="A11" s="21">
        <v>26</v>
      </c>
      <c r="B11" s="21">
        <v>11</v>
      </c>
      <c r="C11" s="21">
        <f t="shared" si="1"/>
        <v>26.916666666666668</v>
      </c>
      <c r="F11" s="21" t="s">
        <v>20</v>
      </c>
    </row>
    <row r="12" spans="1:6" ht="14.5" customHeight="1" x14ac:dyDescent="0.35">
      <c r="A12" s="21">
        <v>27</v>
      </c>
      <c r="B12" s="21">
        <v>11</v>
      </c>
      <c r="C12" s="21">
        <f t="shared" si="1"/>
        <v>27.916666666666668</v>
      </c>
      <c r="F12" s="21" t="s">
        <v>37</v>
      </c>
    </row>
    <row r="13" spans="1:6" ht="14.5" customHeight="1" x14ac:dyDescent="0.35">
      <c r="A13" s="21">
        <v>28</v>
      </c>
      <c r="B13" s="21">
        <v>5</v>
      </c>
      <c r="C13" s="21">
        <f t="shared" si="1"/>
        <v>28.416666666666668</v>
      </c>
      <c r="D13" s="21">
        <v>0.8</v>
      </c>
      <c r="E13" s="21">
        <v>1.08</v>
      </c>
    </row>
    <row r="14" spans="1:6" ht="14.5" customHeight="1" x14ac:dyDescent="0.35">
      <c r="A14" s="21">
        <v>28</v>
      </c>
      <c r="B14" s="21">
        <v>11</v>
      </c>
      <c r="C14" s="21">
        <f t="shared" si="1"/>
        <v>28.916666666666668</v>
      </c>
      <c r="F14" s="21" t="s">
        <v>20</v>
      </c>
    </row>
    <row r="15" spans="1:6" ht="14.5" customHeight="1" x14ac:dyDescent="0.35">
      <c r="A15" s="21">
        <v>29</v>
      </c>
      <c r="B15" s="21">
        <v>11</v>
      </c>
      <c r="C15" s="25">
        <f t="shared" si="1"/>
        <v>29.916666666666668</v>
      </c>
      <c r="D15" s="21">
        <v>1.34</v>
      </c>
      <c r="E15" s="21">
        <v>2.63</v>
      </c>
    </row>
    <row r="16" spans="1:6" ht="14.5" customHeight="1" x14ac:dyDescent="0.35">
      <c r="A16" s="21">
        <v>30</v>
      </c>
      <c r="B16" s="21">
        <v>11</v>
      </c>
      <c r="C16" s="21">
        <f t="shared" si="1"/>
        <v>30.916666666666668</v>
      </c>
      <c r="F16" s="21" t="s">
        <v>20</v>
      </c>
    </row>
    <row r="17" spans="1:6" ht="14.5" customHeight="1" x14ac:dyDescent="0.35">
      <c r="A17" s="21">
        <v>33</v>
      </c>
      <c r="B17" s="21">
        <v>8</v>
      </c>
      <c r="C17" s="21">
        <f t="shared" si="1"/>
        <v>33.666666666666664</v>
      </c>
      <c r="D17" s="21">
        <v>1.06</v>
      </c>
      <c r="E17" s="21">
        <v>0.3</v>
      </c>
    </row>
    <row r="18" spans="1:6" ht="14.5" customHeight="1" x14ac:dyDescent="0.35">
      <c r="A18" s="21">
        <v>34</v>
      </c>
      <c r="B18" s="21">
        <v>4</v>
      </c>
      <c r="C18" s="21">
        <f t="shared" si="1"/>
        <v>34.333333333333336</v>
      </c>
      <c r="F18" s="21" t="s">
        <v>20</v>
      </c>
    </row>
    <row r="19" spans="1:6" ht="14.5" customHeight="1" x14ac:dyDescent="0.35">
      <c r="A19" s="21">
        <v>35</v>
      </c>
      <c r="B19" s="21">
        <v>4</v>
      </c>
      <c r="C19" s="21">
        <f t="shared" si="1"/>
        <v>35.333333333333336</v>
      </c>
      <c r="D19" s="21">
        <v>1.3</v>
      </c>
      <c r="E19" s="21">
        <v>0.41</v>
      </c>
    </row>
    <row r="20" spans="1:6" ht="14.5" customHeight="1" x14ac:dyDescent="0.35">
      <c r="A20" s="21">
        <v>36</v>
      </c>
      <c r="B20" s="21">
        <v>3</v>
      </c>
      <c r="C20" s="21">
        <f t="shared" si="1"/>
        <v>36.25</v>
      </c>
      <c r="F20" s="21" t="s">
        <v>20</v>
      </c>
    </row>
    <row r="33" spans="1:1" ht="14.5" customHeight="1" x14ac:dyDescent="0.35">
      <c r="A33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92"/>
  <sheetViews>
    <sheetView tabSelected="1" topLeftCell="A34" zoomScale="125" zoomScaleNormal="125" workbookViewId="0">
      <selection activeCell="Q64" sqref="Q64"/>
    </sheetView>
  </sheetViews>
  <sheetFormatPr defaultColWidth="8.7265625" defaultRowHeight="14.5" customHeight="1" x14ac:dyDescent="0.35"/>
  <cols>
    <col min="1" max="1" width="19.1796875" style="25" customWidth="1"/>
    <col min="2" max="16384" width="8.7265625" style="21"/>
  </cols>
  <sheetData>
    <row r="1" spans="1:40" s="25" customFormat="1" ht="14.5" customHeight="1" x14ac:dyDescent="0.35">
      <c r="B1" s="27" t="s">
        <v>45</v>
      </c>
      <c r="C1" s="27" t="s">
        <v>9</v>
      </c>
      <c r="D1" s="28" t="s">
        <v>46</v>
      </c>
      <c r="E1" s="27" t="s">
        <v>2</v>
      </c>
      <c r="F1" s="27" t="s">
        <v>5</v>
      </c>
      <c r="G1" s="27" t="s">
        <v>47</v>
      </c>
      <c r="H1" s="27" t="s">
        <v>48</v>
      </c>
      <c r="I1" s="27" t="s">
        <v>49</v>
      </c>
      <c r="J1" s="27" t="s">
        <v>50</v>
      </c>
      <c r="K1" s="27" t="s">
        <v>51</v>
      </c>
      <c r="L1" s="27" t="s">
        <v>52</v>
      </c>
      <c r="M1" s="27" t="s">
        <v>53</v>
      </c>
      <c r="N1" s="27" t="s">
        <v>54</v>
      </c>
      <c r="O1" s="27" t="s">
        <v>56</v>
      </c>
      <c r="P1" s="27" t="s">
        <v>61</v>
      </c>
      <c r="Q1" s="29" t="s">
        <v>60</v>
      </c>
      <c r="R1" s="29" t="s">
        <v>66</v>
      </c>
      <c r="S1" s="29" t="s">
        <v>64</v>
      </c>
      <c r="T1" s="29" t="s">
        <v>65</v>
      </c>
      <c r="U1" s="29" t="s">
        <v>113</v>
      </c>
      <c r="V1" s="29" t="s">
        <v>73</v>
      </c>
      <c r="W1" s="29" t="s">
        <v>74</v>
      </c>
      <c r="X1" s="29" t="s">
        <v>75</v>
      </c>
      <c r="Y1" s="29" t="s">
        <v>114</v>
      </c>
      <c r="Z1" s="29" t="s">
        <v>76</v>
      </c>
      <c r="AA1" s="29" t="s">
        <v>77</v>
      </c>
      <c r="AB1" s="29" t="s">
        <v>78</v>
      </c>
      <c r="AC1" s="29" t="s">
        <v>115</v>
      </c>
      <c r="AD1" s="29" t="s">
        <v>79</v>
      </c>
      <c r="AE1" s="29" t="s">
        <v>80</v>
      </c>
      <c r="AF1" s="29" t="s">
        <v>81</v>
      </c>
      <c r="AG1" s="29" t="s">
        <v>116</v>
      </c>
      <c r="AH1" s="29"/>
      <c r="AI1" s="29" t="s">
        <v>93</v>
      </c>
      <c r="AJ1" s="29" t="s">
        <v>177</v>
      </c>
      <c r="AK1" s="29" t="s">
        <v>166</v>
      </c>
      <c r="AL1" s="29" t="s">
        <v>172</v>
      </c>
      <c r="AM1" s="29" t="s">
        <v>173</v>
      </c>
      <c r="AN1" s="29" t="s">
        <v>174</v>
      </c>
    </row>
    <row r="2" spans="1:40" ht="14.5" customHeight="1" x14ac:dyDescent="0.35">
      <c r="A2" s="21" t="s">
        <v>67</v>
      </c>
      <c r="B2" s="21">
        <v>1</v>
      </c>
      <c r="C2" s="21">
        <v>4</v>
      </c>
      <c r="D2" s="21">
        <f>B2+(C2/12)</f>
        <v>1.3333333333333333</v>
      </c>
      <c r="E2" s="21">
        <v>5.18</v>
      </c>
      <c r="F2" s="20"/>
      <c r="G2" s="20"/>
      <c r="H2" s="20"/>
      <c r="I2" s="20"/>
      <c r="J2" s="20"/>
      <c r="K2" s="20"/>
      <c r="L2" s="20">
        <v>1</v>
      </c>
      <c r="M2" s="20"/>
      <c r="N2" s="20"/>
      <c r="O2" s="20">
        <f>SUM(F2:N2)</f>
        <v>1</v>
      </c>
      <c r="P2" s="21">
        <f>D2</f>
        <v>1.3333333333333333</v>
      </c>
      <c r="Q2" s="25">
        <f>$B$52-E2</f>
        <v>114.24973316666666</v>
      </c>
      <c r="AI2" s="21">
        <f>P2</f>
        <v>1.3333333333333333</v>
      </c>
      <c r="AJ2" s="25">
        <f>Q2</f>
        <v>114.24973316666666</v>
      </c>
    </row>
    <row r="3" spans="1:40" ht="14.5" customHeight="1" x14ac:dyDescent="0.35">
      <c r="A3" s="21" t="s">
        <v>154</v>
      </c>
      <c r="B3" s="21">
        <v>1</v>
      </c>
      <c r="C3" s="21">
        <v>9</v>
      </c>
      <c r="D3" s="21">
        <f t="shared" ref="D3:D48" si="0">B3+(C3/12)</f>
        <v>1.75</v>
      </c>
      <c r="E3" s="21">
        <v>4.9400000000000004</v>
      </c>
      <c r="F3" s="20"/>
      <c r="G3" s="20"/>
      <c r="H3" s="20"/>
      <c r="I3" s="20"/>
      <c r="J3" s="20"/>
      <c r="K3" s="20"/>
      <c r="L3" s="20">
        <v>1</v>
      </c>
      <c r="M3" s="20"/>
      <c r="N3" s="20"/>
      <c r="O3" s="20">
        <f t="shared" ref="O3:O48" si="1">SUM(F3:N3)</f>
        <v>1</v>
      </c>
      <c r="P3" s="25">
        <f t="shared" ref="P3:P48" si="2">D3</f>
        <v>1.75</v>
      </c>
      <c r="Q3" s="25">
        <f>$B$52-E3</f>
        <v>114.48973316666667</v>
      </c>
      <c r="AI3" s="25">
        <f t="shared" ref="AI3:AI48" si="3">P3</f>
        <v>1.75</v>
      </c>
      <c r="AJ3" s="25">
        <f t="shared" ref="AJ3:AJ48" si="4">Q3</f>
        <v>114.48973316666667</v>
      </c>
    </row>
    <row r="4" spans="1:40" ht="14.5" customHeight="1" x14ac:dyDescent="0.35">
      <c r="A4" s="21" t="s">
        <v>67</v>
      </c>
      <c r="B4" s="21">
        <v>2</v>
      </c>
      <c r="C4" s="21">
        <v>2</v>
      </c>
      <c r="D4" s="21">
        <f t="shared" si="0"/>
        <v>2.1666666666666665</v>
      </c>
      <c r="E4" s="21">
        <v>5.58</v>
      </c>
      <c r="F4" s="20"/>
      <c r="G4" s="20"/>
      <c r="H4" s="20"/>
      <c r="I4" s="20"/>
      <c r="J4" s="20"/>
      <c r="K4" s="20"/>
      <c r="L4" s="20"/>
      <c r="M4" s="20">
        <v>1</v>
      </c>
      <c r="N4" s="20"/>
      <c r="O4" s="20">
        <f t="shared" si="1"/>
        <v>1</v>
      </c>
      <c r="P4" s="25">
        <f t="shared" si="2"/>
        <v>2.1666666666666665</v>
      </c>
      <c r="Q4" s="25">
        <f>$B$52-E4</f>
        <v>113.84973316666667</v>
      </c>
      <c r="AI4" s="25">
        <f t="shared" si="3"/>
        <v>2.1666666666666665</v>
      </c>
      <c r="AJ4" s="25">
        <f t="shared" si="4"/>
        <v>113.84973316666667</v>
      </c>
      <c r="AL4" s="25"/>
    </row>
    <row r="5" spans="1:40" ht="14.5" customHeight="1" x14ac:dyDescent="0.35">
      <c r="A5" s="21" t="s">
        <v>148</v>
      </c>
      <c r="B5" s="21">
        <v>2</v>
      </c>
      <c r="C5" s="21">
        <v>8</v>
      </c>
      <c r="D5" s="21">
        <f t="shared" si="0"/>
        <v>2.6666666666666665</v>
      </c>
      <c r="E5" s="21">
        <v>5.68</v>
      </c>
      <c r="F5" s="20"/>
      <c r="G5" s="20"/>
      <c r="H5" s="20"/>
      <c r="I5" s="20"/>
      <c r="J5" s="20"/>
      <c r="K5" s="20"/>
      <c r="L5" s="20"/>
      <c r="M5" s="20">
        <v>1</v>
      </c>
      <c r="N5" s="20"/>
      <c r="O5" s="20">
        <f t="shared" si="1"/>
        <v>1</v>
      </c>
      <c r="P5" s="25">
        <f t="shared" si="2"/>
        <v>2.6666666666666665</v>
      </c>
      <c r="Q5" s="25">
        <f>$B$52-E5</f>
        <v>113.74973316666666</v>
      </c>
      <c r="Y5" s="12"/>
      <c r="AI5" s="25">
        <f t="shared" si="3"/>
        <v>2.6666666666666665</v>
      </c>
      <c r="AJ5" s="25">
        <f t="shared" si="4"/>
        <v>113.74973316666666</v>
      </c>
      <c r="AL5" s="25"/>
    </row>
    <row r="6" spans="1:40" s="25" customFormat="1" ht="14.5" customHeight="1" x14ac:dyDescent="0.35">
      <c r="A6" s="25" t="s">
        <v>83</v>
      </c>
      <c r="B6" s="25">
        <v>2</v>
      </c>
      <c r="C6" s="25">
        <v>11</v>
      </c>
      <c r="D6" s="25">
        <f>B6+(C6/12)</f>
        <v>2.9166666666666665</v>
      </c>
      <c r="G6" s="20"/>
      <c r="H6" s="20"/>
      <c r="I6" s="20"/>
      <c r="J6" s="20"/>
      <c r="K6" s="20"/>
      <c r="L6" s="20"/>
      <c r="M6" s="20"/>
      <c r="N6" s="20"/>
      <c r="O6" s="20"/>
      <c r="P6" s="25">
        <f t="shared" si="2"/>
        <v>2.9166666666666665</v>
      </c>
      <c r="Q6" s="12">
        <f>Q5+((Q7-Q5)*(($D6-$D5)/($D7-$D5)))</f>
        <v>112.64723316666667</v>
      </c>
      <c r="X6" s="25">
        <v>113.26323316666667</v>
      </c>
      <c r="Y6" s="12">
        <f t="shared" ref="Y6:Y38" si="5">(T4f2_Flat_Level-$Q6)*(($P7-$P5)/2)</f>
        <v>9.9344472222223174E-2</v>
      </c>
      <c r="Z6" s="25">
        <v>1.3</v>
      </c>
      <c r="AB6" s="25">
        <f t="shared" ref="AB6:AB40" si="6">$Q6+Z6</f>
        <v>113.94723316666666</v>
      </c>
      <c r="AC6" s="12">
        <f t="shared" ref="AC6:AC38" si="7">(T4f3_Flat_Level-$Q6)*(($P7-$P5)/2)</f>
        <v>0.11791113888888802</v>
      </c>
      <c r="AI6" s="25">
        <f t="shared" si="3"/>
        <v>2.9166666666666665</v>
      </c>
      <c r="AJ6" s="25">
        <f t="shared" si="4"/>
        <v>112.64723316666667</v>
      </c>
      <c r="AL6" s="25">
        <f t="shared" ref="AL6:AL38" si="8">T4f2_Flat_Level</f>
        <v>113.2433</v>
      </c>
      <c r="AM6" s="25">
        <f t="shared" ref="AM6:AM39" si="9">T4f3_Flat_Level</f>
        <v>113.35469999999999</v>
      </c>
      <c r="AN6" s="25">
        <f t="shared" ref="AN6:AN41" si="10">T4F4_Flat_Level</f>
        <v>113.6602</v>
      </c>
    </row>
    <row r="7" spans="1:40" ht="14.5" customHeight="1" x14ac:dyDescent="0.35">
      <c r="A7" s="25" t="s">
        <v>160</v>
      </c>
      <c r="B7" s="21">
        <v>3</v>
      </c>
      <c r="C7" s="21">
        <v>0</v>
      </c>
      <c r="D7" s="21">
        <f t="shared" si="0"/>
        <v>3</v>
      </c>
      <c r="E7" s="21">
        <v>7.15</v>
      </c>
      <c r="F7" s="20"/>
      <c r="G7" s="20">
        <v>0.1</v>
      </c>
      <c r="H7" s="20">
        <v>0.1</v>
      </c>
      <c r="I7" s="20">
        <v>0.2</v>
      </c>
      <c r="J7" s="20">
        <v>0.2</v>
      </c>
      <c r="K7" s="20">
        <v>0.4</v>
      </c>
      <c r="L7" s="20"/>
      <c r="M7" s="20"/>
      <c r="N7" s="20"/>
      <c r="O7" s="20">
        <f t="shared" si="1"/>
        <v>1</v>
      </c>
      <c r="P7" s="25">
        <f t="shared" si="2"/>
        <v>3</v>
      </c>
      <c r="Q7" s="25">
        <f>$B$52-E7</f>
        <v>112.27973316666666</v>
      </c>
      <c r="R7" s="25">
        <v>0.9</v>
      </c>
      <c r="S7" s="25">
        <v>0</v>
      </c>
      <c r="T7" s="21">
        <f>$Q7+R7</f>
        <v>113.17973316666667</v>
      </c>
      <c r="U7" s="12">
        <f t="shared" ref="U7:U37" si="11">(T4F1_Flat_Level-$Q7)*(($P8-$P6)/2)</f>
        <v>7.3063902777778023E-2</v>
      </c>
      <c r="X7" s="25">
        <v>113.26323316666667</v>
      </c>
      <c r="Y7" s="12">
        <f t="shared" si="5"/>
        <v>8.029723611111228E-2</v>
      </c>
      <c r="Z7" s="12">
        <f>Z6+((Z9-Z6)*(($D7-$D6)/($D9-$D6)))</f>
        <v>1.3125</v>
      </c>
      <c r="AB7" s="25">
        <f t="shared" si="6"/>
        <v>113.59223316666666</v>
      </c>
      <c r="AC7" s="12">
        <f t="shared" si="7"/>
        <v>8.9580569444444716E-2</v>
      </c>
      <c r="AD7" s="25">
        <v>1.63</v>
      </c>
      <c r="AE7" s="25">
        <v>0</v>
      </c>
      <c r="AF7" s="25">
        <f t="shared" ref="AF7:AF41" si="12">$Q7+AD7</f>
        <v>113.90973316666665</v>
      </c>
      <c r="AG7" s="12">
        <f t="shared" ref="AG7:AG41" si="13">(T4F4_Flat_Level-$Q7)*(($P8-$P6)/2)</f>
        <v>0.11503890277777885</v>
      </c>
      <c r="AI7" s="25">
        <f t="shared" si="3"/>
        <v>3</v>
      </c>
      <c r="AJ7" s="25">
        <f t="shared" si="4"/>
        <v>112.27973316666666</v>
      </c>
      <c r="AK7" s="21">
        <f t="shared" ref="AK7:AK37" si="14">T4F1_Flat_Level</f>
        <v>113.15649999999999</v>
      </c>
      <c r="AL7" s="21">
        <f t="shared" si="8"/>
        <v>113.2433</v>
      </c>
      <c r="AM7" s="21">
        <f t="shared" si="9"/>
        <v>113.35469999999999</v>
      </c>
      <c r="AN7" s="21">
        <f t="shared" si="10"/>
        <v>113.6602</v>
      </c>
    </row>
    <row r="8" spans="1:40" s="25" customFormat="1" ht="14.5" customHeight="1" x14ac:dyDescent="0.35">
      <c r="A8" s="25" t="s">
        <v>72</v>
      </c>
      <c r="B8" s="25">
        <v>3</v>
      </c>
      <c r="C8" s="25">
        <v>1</v>
      </c>
      <c r="D8" s="25">
        <v>3.0833333333333335</v>
      </c>
      <c r="G8" s="20"/>
      <c r="H8" s="20"/>
      <c r="I8" s="20"/>
      <c r="J8" s="20"/>
      <c r="K8" s="20"/>
      <c r="L8" s="20"/>
      <c r="M8" s="20"/>
      <c r="N8" s="20"/>
      <c r="O8" s="20"/>
      <c r="P8" s="25">
        <f t="shared" si="2"/>
        <v>3.0833333333333335</v>
      </c>
      <c r="Q8" s="12">
        <f>Q7+((Q19-Q7)*(($D8-$D7)/($D19-$D7)))</f>
        <v>112.26323316666667</v>
      </c>
      <c r="R8" s="12">
        <f>R7+((R10-R7)*(($D8-$D7)/($D10-$D7)))</f>
        <v>0.9111111111111112</v>
      </c>
      <c r="T8" s="25">
        <f t="shared" ref="T8:T35" si="15">$Q8+R8</f>
        <v>113.17434427777778</v>
      </c>
      <c r="U8" s="12">
        <f t="shared" si="11"/>
        <v>0.26053615972222083</v>
      </c>
      <c r="V8" s="25">
        <v>1</v>
      </c>
      <c r="W8" s="25">
        <v>-0.1</v>
      </c>
      <c r="X8" s="25">
        <f t="shared" ref="X8:X39" si="16">$Q8+V8</f>
        <v>113.26323316666667</v>
      </c>
      <c r="Y8" s="12">
        <f t="shared" si="5"/>
        <v>0.28585282638889065</v>
      </c>
      <c r="Z8" s="12">
        <f>Z6+((Z9-Z6)*(($D8-$D6)/($D9-$D6)))</f>
        <v>1.325</v>
      </c>
      <c r="AB8" s="25">
        <f t="shared" si="6"/>
        <v>113.58823316666667</v>
      </c>
      <c r="AC8" s="12">
        <f t="shared" si="7"/>
        <v>0.31834449305555412</v>
      </c>
      <c r="AD8" s="12">
        <f>AD7+((AD10-AD7)*(($D8-$D7)/($D10-$D7)))</f>
        <v>1.63</v>
      </c>
      <c r="AF8" s="25">
        <f t="shared" si="12"/>
        <v>113.89323316666666</v>
      </c>
      <c r="AG8" s="12">
        <f t="shared" si="13"/>
        <v>0.40744865972222349</v>
      </c>
      <c r="AI8" s="25">
        <f t="shared" si="3"/>
        <v>3.0833333333333335</v>
      </c>
      <c r="AJ8" s="25">
        <f t="shared" si="4"/>
        <v>112.26323316666667</v>
      </c>
      <c r="AK8" s="25">
        <f t="shared" si="14"/>
        <v>113.15649999999999</v>
      </c>
      <c r="AL8" s="25">
        <f t="shared" si="8"/>
        <v>113.2433</v>
      </c>
      <c r="AM8" s="25">
        <f t="shared" si="9"/>
        <v>113.35469999999999</v>
      </c>
      <c r="AN8" s="25">
        <f t="shared" si="10"/>
        <v>113.6602</v>
      </c>
    </row>
    <row r="9" spans="1:40" s="25" customFormat="1" ht="14.5" customHeight="1" x14ac:dyDescent="0.35">
      <c r="A9" s="25" t="s">
        <v>83</v>
      </c>
      <c r="B9" s="25">
        <v>3</v>
      </c>
      <c r="C9" s="25">
        <v>7</v>
      </c>
      <c r="D9" s="25">
        <f>B9+(C9/12)</f>
        <v>3.5833333333333335</v>
      </c>
      <c r="G9" s="20"/>
      <c r="H9" s="20"/>
      <c r="I9" s="20"/>
      <c r="J9" s="20"/>
      <c r="K9" s="20"/>
      <c r="L9" s="20"/>
      <c r="M9" s="20"/>
      <c r="N9" s="20"/>
      <c r="O9" s="20"/>
      <c r="P9" s="25">
        <f t="shared" si="2"/>
        <v>3.5833333333333335</v>
      </c>
      <c r="Q9" s="12">
        <f>Q7+((Q19-Q7)*(($D9-$D7)/($D19-$D7)))</f>
        <v>112.16423316666666</v>
      </c>
      <c r="R9" s="12">
        <f>R7+((R10-R7)*(($D9-$D7)/($D10-$D7)))</f>
        <v>0.97777777777777786</v>
      </c>
      <c r="T9" s="25">
        <f t="shared" si="15"/>
        <v>113.14201094444444</v>
      </c>
      <c r="U9" s="12">
        <f t="shared" si="11"/>
        <v>0.33075561111111057</v>
      </c>
      <c r="V9" s="12">
        <f>V8+((V10-V8)*(($D9-$D8)/($D10-$D8)))</f>
        <v>1</v>
      </c>
      <c r="X9" s="25">
        <f t="shared" si="16"/>
        <v>113.16423316666666</v>
      </c>
      <c r="Y9" s="12">
        <f t="shared" si="5"/>
        <v>0.35968894444444754</v>
      </c>
      <c r="Z9" s="25">
        <v>1.4</v>
      </c>
      <c r="AA9" s="25">
        <v>-7.0000000000000007E-2</v>
      </c>
      <c r="AB9" s="25">
        <f t="shared" si="6"/>
        <v>113.56423316666667</v>
      </c>
      <c r="AC9" s="12">
        <f t="shared" si="7"/>
        <v>0.39682227777777723</v>
      </c>
      <c r="AD9" s="12">
        <f>AD7+((AD10-AD7)*(($D9-$D7)/($D10-$D7)))</f>
        <v>1.63</v>
      </c>
      <c r="AF9" s="25">
        <f t="shared" si="12"/>
        <v>113.79423316666666</v>
      </c>
      <c r="AG9" s="12">
        <f t="shared" si="13"/>
        <v>0.49865561111111362</v>
      </c>
      <c r="AI9" s="25">
        <f t="shared" si="3"/>
        <v>3.5833333333333335</v>
      </c>
      <c r="AJ9" s="25">
        <f t="shared" si="4"/>
        <v>112.16423316666666</v>
      </c>
      <c r="AK9" s="25">
        <f t="shared" si="14"/>
        <v>113.15649999999999</v>
      </c>
      <c r="AL9" s="25">
        <f t="shared" si="8"/>
        <v>113.2433</v>
      </c>
      <c r="AM9" s="25">
        <f t="shared" si="9"/>
        <v>113.35469999999999</v>
      </c>
      <c r="AN9" s="25">
        <f t="shared" si="10"/>
        <v>113.6602</v>
      </c>
    </row>
    <row r="10" spans="1:40" s="25" customFormat="1" ht="14.5" customHeight="1" x14ac:dyDescent="0.35">
      <c r="A10" s="25" t="s">
        <v>161</v>
      </c>
      <c r="B10" s="25">
        <v>3</v>
      </c>
      <c r="C10" s="25">
        <v>9</v>
      </c>
      <c r="D10" s="25">
        <v>3.75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5">
        <f t="shared" si="2"/>
        <v>3.75</v>
      </c>
      <c r="Q10" s="12">
        <f>Q7+((Q19-Q7)*(($D10-$D7)/($D19-$D7)))</f>
        <v>112.13123316666666</v>
      </c>
      <c r="R10" s="25">
        <v>1</v>
      </c>
      <c r="S10" s="25">
        <v>0</v>
      </c>
      <c r="T10" s="25">
        <f t="shared" si="15"/>
        <v>113.13123316666666</v>
      </c>
      <c r="U10" s="12">
        <f t="shared" si="11"/>
        <v>0.1708778055555554</v>
      </c>
      <c r="V10" s="25">
        <v>1</v>
      </c>
      <c r="W10" s="25">
        <v>-0.14000000000000001</v>
      </c>
      <c r="X10" s="25">
        <f t="shared" si="16"/>
        <v>113.13123316666666</v>
      </c>
      <c r="Y10" s="12">
        <f t="shared" si="5"/>
        <v>0.18534447222222386</v>
      </c>
      <c r="Z10" s="25">
        <v>1.06</v>
      </c>
      <c r="AA10" s="25">
        <v>-0.12</v>
      </c>
      <c r="AB10" s="25">
        <f t="shared" si="6"/>
        <v>113.19123316666666</v>
      </c>
      <c r="AC10" s="12">
        <f t="shared" si="7"/>
        <v>0.20391113888888868</v>
      </c>
      <c r="AD10" s="25">
        <v>1.63</v>
      </c>
      <c r="AE10" s="25">
        <v>-0.23</v>
      </c>
      <c r="AF10" s="25">
        <f t="shared" si="12"/>
        <v>113.76123316666666</v>
      </c>
      <c r="AG10" s="12">
        <f t="shared" si="13"/>
        <v>0.25482780555555684</v>
      </c>
      <c r="AI10" s="25">
        <f t="shared" si="3"/>
        <v>3.75</v>
      </c>
      <c r="AJ10" s="25">
        <f t="shared" si="4"/>
        <v>112.13123316666666</v>
      </c>
      <c r="AK10" s="25">
        <f t="shared" si="14"/>
        <v>113.15649999999999</v>
      </c>
      <c r="AL10" s="25">
        <f t="shared" si="8"/>
        <v>113.2433</v>
      </c>
      <c r="AM10" s="25">
        <f t="shared" si="9"/>
        <v>113.35469999999999</v>
      </c>
      <c r="AN10" s="25">
        <f t="shared" si="10"/>
        <v>113.6602</v>
      </c>
    </row>
    <row r="11" spans="1:40" s="25" customFormat="1" ht="14.5" customHeight="1" x14ac:dyDescent="0.35">
      <c r="A11" s="25" t="s">
        <v>83</v>
      </c>
      <c r="B11" s="25">
        <v>3</v>
      </c>
      <c r="C11" s="25">
        <v>11</v>
      </c>
      <c r="D11" s="25">
        <f>B11+(C11/12)</f>
        <v>3.9166666666666665</v>
      </c>
      <c r="G11" s="20"/>
      <c r="H11" s="20"/>
      <c r="I11" s="20"/>
      <c r="J11" s="20"/>
      <c r="K11" s="20"/>
      <c r="L11" s="20"/>
      <c r="M11" s="20"/>
      <c r="N11" s="20"/>
      <c r="O11" s="20"/>
      <c r="P11" s="25">
        <f t="shared" si="2"/>
        <v>3.9166666666666665</v>
      </c>
      <c r="Q11" s="12">
        <f>Q7+((Q19-Q7)*(($D11-$D7)/($D19-$D7)))</f>
        <v>112.09823316666666</v>
      </c>
      <c r="R11" s="12">
        <f>R10+((R12-R10)*(($D11-$D10)/($D12-$D10)))</f>
        <v>0.95750000000000002</v>
      </c>
      <c r="T11" s="25">
        <f t="shared" si="15"/>
        <v>113.05573316666666</v>
      </c>
      <c r="U11" s="12">
        <f t="shared" si="11"/>
        <v>0.3527556111111112</v>
      </c>
      <c r="V11" s="12">
        <f>V10+((V14-V10)*(($D11-$D10)/($D14-$D10)))</f>
        <v>1.0333333333333332</v>
      </c>
      <c r="X11" s="25">
        <f t="shared" si="16"/>
        <v>113.13156649999999</v>
      </c>
      <c r="Y11" s="12">
        <f t="shared" si="5"/>
        <v>0.38168894444444812</v>
      </c>
      <c r="Z11" s="25">
        <v>1.31</v>
      </c>
      <c r="AA11" s="25">
        <v>0.11</v>
      </c>
      <c r="AB11" s="25">
        <f t="shared" si="6"/>
        <v>113.40823316666666</v>
      </c>
      <c r="AC11" s="12">
        <f t="shared" si="7"/>
        <v>0.41882227777777775</v>
      </c>
      <c r="AD11" s="12">
        <f>AD10+((AD13-AD10)*(($D11-$D10)/($D13-$D10)))</f>
        <v>1.61375</v>
      </c>
      <c r="AF11" s="25">
        <f t="shared" si="12"/>
        <v>113.71198316666666</v>
      </c>
      <c r="AG11" s="12">
        <f t="shared" si="13"/>
        <v>0.52065561111111414</v>
      </c>
      <c r="AI11" s="25">
        <f t="shared" si="3"/>
        <v>3.9166666666666665</v>
      </c>
      <c r="AJ11" s="25">
        <f t="shared" si="4"/>
        <v>112.09823316666666</v>
      </c>
      <c r="AK11" s="25">
        <f t="shared" si="14"/>
        <v>113.15649999999999</v>
      </c>
      <c r="AL11" s="25">
        <f t="shared" si="8"/>
        <v>113.2433</v>
      </c>
      <c r="AM11" s="25">
        <f t="shared" si="9"/>
        <v>113.35469999999999</v>
      </c>
      <c r="AN11" s="25">
        <f t="shared" si="10"/>
        <v>113.6602</v>
      </c>
    </row>
    <row r="12" spans="1:40" s="25" customFormat="1" ht="14.5" customHeight="1" x14ac:dyDescent="0.35">
      <c r="A12" s="25" t="s">
        <v>68</v>
      </c>
      <c r="D12" s="25">
        <v>4.4166666666666661</v>
      </c>
      <c r="G12" s="20"/>
      <c r="H12" s="20"/>
      <c r="I12" s="20"/>
      <c r="J12" s="20"/>
      <c r="K12" s="20"/>
      <c r="L12" s="20"/>
      <c r="M12" s="20"/>
      <c r="N12" s="20"/>
      <c r="O12" s="20"/>
      <c r="P12" s="25">
        <f t="shared" si="2"/>
        <v>4.4166666666666661</v>
      </c>
      <c r="Q12" s="12">
        <f>Q7+((Q19-Q7)*(($D12-$D7)/($D19-$D7)))</f>
        <v>111.99923316666666</v>
      </c>
      <c r="R12" s="25">
        <v>0.83</v>
      </c>
      <c r="S12" s="25">
        <v>0.1</v>
      </c>
      <c r="T12" s="25">
        <f t="shared" si="15"/>
        <v>112.82923316666665</v>
      </c>
      <c r="U12" s="12">
        <f t="shared" si="11"/>
        <v>0.67507231944444723</v>
      </c>
      <c r="V12" s="12">
        <f>V10+((V14-V10)*(($D12-$D10)/($D14-$D10)))</f>
        <v>1.1333333333333333</v>
      </c>
      <c r="X12" s="25">
        <f t="shared" si="16"/>
        <v>113.1325665</v>
      </c>
      <c r="Y12" s="12">
        <f t="shared" si="5"/>
        <v>0.72570565277778687</v>
      </c>
      <c r="Z12" s="12">
        <f>Z11+((Z15-Z11)*(($D12-$D11)/($D15-$D11)))</f>
        <v>1.3933333333333333</v>
      </c>
      <c r="AB12" s="25">
        <f>$Q12+Z12</f>
        <v>113.39256649999999</v>
      </c>
      <c r="AC12" s="12">
        <f t="shared" si="7"/>
        <v>0.79068898611111382</v>
      </c>
      <c r="AD12" s="12">
        <f>AD10+((AD13-AD10)*(($D12-$D10)/($D13-$D10)))</f>
        <v>1.5649999999999999</v>
      </c>
      <c r="AF12" s="25">
        <f t="shared" si="12"/>
        <v>113.56423316666665</v>
      </c>
      <c r="AG12" s="12">
        <f t="shared" si="13"/>
        <v>0.96889731944445256</v>
      </c>
      <c r="AI12" s="25">
        <f t="shared" si="3"/>
        <v>4.4166666666666661</v>
      </c>
      <c r="AJ12" s="25">
        <f t="shared" si="4"/>
        <v>111.99923316666666</v>
      </c>
      <c r="AK12" s="25">
        <f t="shared" si="14"/>
        <v>113.15649999999999</v>
      </c>
      <c r="AL12" s="25">
        <f t="shared" si="8"/>
        <v>113.2433</v>
      </c>
      <c r="AM12" s="25">
        <f t="shared" si="9"/>
        <v>113.35469999999999</v>
      </c>
      <c r="AN12" s="25">
        <f t="shared" si="10"/>
        <v>113.6602</v>
      </c>
    </row>
    <row r="13" spans="1:40" s="25" customFormat="1" ht="14.5" customHeight="1" x14ac:dyDescent="0.35">
      <c r="A13" s="25" t="s">
        <v>124</v>
      </c>
      <c r="B13" s="25">
        <v>5</v>
      </c>
      <c r="C13" s="25">
        <v>1</v>
      </c>
      <c r="D13" s="25">
        <f t="shared" ref="D13" si="17">B13+(C13/12)</f>
        <v>5.083333333333333</v>
      </c>
      <c r="G13" s="20"/>
      <c r="H13" s="20"/>
      <c r="I13" s="20"/>
      <c r="J13" s="20"/>
      <c r="K13" s="20"/>
      <c r="L13" s="20"/>
      <c r="M13" s="20"/>
      <c r="N13" s="20"/>
      <c r="O13" s="20"/>
      <c r="P13" s="25">
        <f t="shared" si="2"/>
        <v>5.083333333333333</v>
      </c>
      <c r="Q13" s="12">
        <f>Q7+((Q19-Q7)*(($D13-$D7)/($D19-$D7)))</f>
        <v>111.86723316666667</v>
      </c>
      <c r="R13" s="12">
        <f>R12+((R17-R12)*(($D13-$D12)/($D17-$D12)))</f>
        <v>1.0669230769230769</v>
      </c>
      <c r="T13" s="25">
        <f t="shared" si="15"/>
        <v>112.93415624358974</v>
      </c>
      <c r="U13" s="12">
        <f t="shared" si="11"/>
        <v>0.5371945138888875</v>
      </c>
      <c r="V13" s="12">
        <f>V10+((V14-V10)*(($D13-$D10)/($D14-$D10)))</f>
        <v>1.2666666666666666</v>
      </c>
      <c r="X13" s="25">
        <f t="shared" si="16"/>
        <v>113.13389983333333</v>
      </c>
      <c r="Y13" s="12">
        <f t="shared" si="5"/>
        <v>0.57336118055555874</v>
      </c>
      <c r="Z13" s="12">
        <f>Z11+((Z15-Z11)*(($D13-$D11)/($D15-$D11)))</f>
        <v>1.5044444444444445</v>
      </c>
      <c r="AB13" s="25">
        <f t="shared" si="6"/>
        <v>113.37167761111111</v>
      </c>
      <c r="AC13" s="12">
        <f t="shared" si="7"/>
        <v>0.61977784722222085</v>
      </c>
      <c r="AD13" s="25">
        <v>1.5</v>
      </c>
      <c r="AE13" s="25">
        <v>-0.15</v>
      </c>
      <c r="AF13" s="25">
        <f t="shared" si="12"/>
        <v>113.36723316666667</v>
      </c>
      <c r="AG13" s="12">
        <f t="shared" si="13"/>
        <v>0.74706951388889142</v>
      </c>
      <c r="AI13" s="25">
        <f t="shared" si="3"/>
        <v>5.083333333333333</v>
      </c>
      <c r="AJ13" s="25">
        <f t="shared" si="4"/>
        <v>111.86723316666667</v>
      </c>
      <c r="AK13" s="25">
        <f t="shared" si="14"/>
        <v>113.15649999999999</v>
      </c>
      <c r="AL13" s="25">
        <f t="shared" si="8"/>
        <v>113.2433</v>
      </c>
      <c r="AM13" s="25">
        <f t="shared" si="9"/>
        <v>113.35469999999999</v>
      </c>
      <c r="AN13" s="25">
        <f t="shared" si="10"/>
        <v>113.6602</v>
      </c>
    </row>
    <row r="14" spans="1:40" s="25" customFormat="1" ht="14.5" customHeight="1" x14ac:dyDescent="0.35">
      <c r="A14" s="25" t="s">
        <v>72</v>
      </c>
      <c r="B14" s="25">
        <v>5</v>
      </c>
      <c r="C14" s="12">
        <v>3</v>
      </c>
      <c r="D14" s="12">
        <v>5.25</v>
      </c>
      <c r="G14" s="20"/>
      <c r="H14" s="20"/>
      <c r="I14" s="20"/>
      <c r="J14" s="20"/>
      <c r="K14" s="20"/>
      <c r="L14" s="20"/>
      <c r="M14" s="20"/>
      <c r="N14" s="20"/>
      <c r="O14" s="20"/>
      <c r="P14" s="25">
        <f t="shared" si="2"/>
        <v>5.25</v>
      </c>
      <c r="Q14" s="12">
        <f>Q7+((Q19-Q7)*(($D14-$D7)/($D19-$D7)))</f>
        <v>111.83423316666666</v>
      </c>
      <c r="R14" s="12">
        <f>R12+((R17-R12)*(($D14-$D12)/($D17-$D12)))</f>
        <v>1.1261538461538463</v>
      </c>
      <c r="T14" s="25">
        <f t="shared" si="15"/>
        <v>112.9603870128205</v>
      </c>
      <c r="U14" s="12">
        <f t="shared" si="11"/>
        <v>0.22037780555555544</v>
      </c>
      <c r="V14" s="17">
        <v>1.3</v>
      </c>
      <c r="W14" s="17">
        <v>0.31</v>
      </c>
      <c r="X14" s="25">
        <f t="shared" si="16"/>
        <v>113.13423316666666</v>
      </c>
      <c r="Y14" s="12">
        <f t="shared" si="5"/>
        <v>0.23484447222222393</v>
      </c>
      <c r="Z14" s="12">
        <f>Z11+((Z15-Z11)*(($D14-$D11)/($D15-$D11)))</f>
        <v>1.5322222222222222</v>
      </c>
      <c r="AB14" s="25">
        <f t="shared" si="6"/>
        <v>113.36645538888888</v>
      </c>
      <c r="AC14" s="12">
        <f t="shared" si="7"/>
        <v>0.25341113888888883</v>
      </c>
      <c r="AD14" s="12">
        <f>AD13+((AD17-AD13)*(($D14-$D13)/($D17-$D13)))</f>
        <v>1.5144444444444445</v>
      </c>
      <c r="AF14" s="25">
        <f t="shared" si="12"/>
        <v>113.34867761111111</v>
      </c>
      <c r="AG14" s="12">
        <f t="shared" si="13"/>
        <v>0.30432780555555711</v>
      </c>
      <c r="AI14" s="25">
        <f t="shared" si="3"/>
        <v>5.25</v>
      </c>
      <c r="AJ14" s="25">
        <f t="shared" si="4"/>
        <v>111.83423316666666</v>
      </c>
      <c r="AK14" s="25">
        <f t="shared" si="14"/>
        <v>113.15649999999999</v>
      </c>
      <c r="AL14" s="25">
        <f t="shared" si="8"/>
        <v>113.2433</v>
      </c>
      <c r="AM14" s="25">
        <f t="shared" si="9"/>
        <v>113.35469999999999</v>
      </c>
      <c r="AN14" s="25">
        <f t="shared" si="10"/>
        <v>113.6602</v>
      </c>
    </row>
    <row r="15" spans="1:40" s="25" customFormat="1" ht="14.5" customHeight="1" x14ac:dyDescent="0.35">
      <c r="A15" s="25" t="s">
        <v>83</v>
      </c>
      <c r="B15" s="25">
        <v>5</v>
      </c>
      <c r="C15" s="25">
        <v>5</v>
      </c>
      <c r="D15" s="25">
        <f>B15+(C15/12)</f>
        <v>5.416666666666667</v>
      </c>
      <c r="G15" s="20"/>
      <c r="H15" s="20"/>
      <c r="I15" s="20"/>
      <c r="J15" s="20"/>
      <c r="K15" s="20"/>
      <c r="L15" s="20"/>
      <c r="M15" s="20"/>
      <c r="N15" s="20"/>
      <c r="O15" s="20"/>
      <c r="P15" s="25">
        <f t="shared" si="2"/>
        <v>5.416666666666667</v>
      </c>
      <c r="Q15" s="12">
        <f>Q7+((Q19-Q7)*(($D15-$D7)/($D19-$D7)))</f>
        <v>111.80123316666666</v>
      </c>
      <c r="R15" s="12">
        <f>R12+((R17-R12)*(($D15-$D12)/($D17-$D12)))</f>
        <v>1.1853846153846157</v>
      </c>
      <c r="T15" s="25">
        <f t="shared" si="15"/>
        <v>112.98661778205128</v>
      </c>
      <c r="U15" s="12">
        <f t="shared" si="11"/>
        <v>0.56469451388888792</v>
      </c>
      <c r="V15" s="12">
        <f>V14+((V17-V14)*(($D15-$D14)/($D17-$D14)))</f>
        <v>1.3437500000000002</v>
      </c>
      <c r="W15" s="17"/>
      <c r="X15" s="25">
        <f t="shared" si="16"/>
        <v>113.14498316666666</v>
      </c>
      <c r="Y15" s="12">
        <f t="shared" si="5"/>
        <v>0.60086118055555915</v>
      </c>
      <c r="Z15" s="25">
        <v>1.56</v>
      </c>
      <c r="AB15" s="25">
        <f t="shared" si="6"/>
        <v>113.36123316666666</v>
      </c>
      <c r="AC15" s="12">
        <f t="shared" si="7"/>
        <v>0.64727784722222126</v>
      </c>
      <c r="AD15" s="12">
        <f>AD13+((AD17-AD13)*(($D15-$D13)/($D17-$D13)))</f>
        <v>1.528888888888889</v>
      </c>
      <c r="AF15" s="25">
        <f t="shared" si="12"/>
        <v>113.33012205555555</v>
      </c>
      <c r="AG15" s="12">
        <f t="shared" si="13"/>
        <v>0.77456951388889173</v>
      </c>
      <c r="AI15" s="25">
        <f t="shared" si="3"/>
        <v>5.416666666666667</v>
      </c>
      <c r="AJ15" s="25">
        <f t="shared" si="4"/>
        <v>111.80123316666666</v>
      </c>
      <c r="AK15" s="25">
        <f t="shared" si="14"/>
        <v>113.15649999999999</v>
      </c>
      <c r="AL15" s="25">
        <f t="shared" si="8"/>
        <v>113.2433</v>
      </c>
      <c r="AM15" s="25">
        <f t="shared" si="9"/>
        <v>113.35469999999999</v>
      </c>
      <c r="AN15" s="25">
        <f t="shared" si="10"/>
        <v>113.6602</v>
      </c>
    </row>
    <row r="16" spans="1:40" s="25" customFormat="1" ht="14.5" customHeight="1" x14ac:dyDescent="0.35">
      <c r="A16" s="25" t="s">
        <v>83</v>
      </c>
      <c r="B16" s="25">
        <v>6</v>
      </c>
      <c r="C16" s="25">
        <v>1</v>
      </c>
      <c r="D16" s="25">
        <f>B16+(C16/12)</f>
        <v>6.083333333333333</v>
      </c>
      <c r="G16" s="20"/>
      <c r="H16" s="20"/>
      <c r="I16" s="20"/>
      <c r="J16" s="20"/>
      <c r="K16" s="20"/>
      <c r="L16" s="20"/>
      <c r="M16" s="20"/>
      <c r="N16" s="20"/>
      <c r="O16" s="20"/>
      <c r="P16" s="25">
        <f t="shared" si="2"/>
        <v>6.083333333333333</v>
      </c>
      <c r="Q16" s="12">
        <f>Q7+((Q19-Q7)*(($D16-$D7)/($D19-$D7)))</f>
        <v>111.66923316666666</v>
      </c>
      <c r="R16" s="12">
        <f>R12+((R17-R12)*(($D16-$D12)/($D17-$D12)))</f>
        <v>1.4223076923076925</v>
      </c>
      <c r="T16" s="25">
        <f t="shared" si="15"/>
        <v>113.09154085897435</v>
      </c>
      <c r="U16" s="12">
        <f t="shared" si="11"/>
        <v>0.86757231944444591</v>
      </c>
      <c r="V16" s="12">
        <f>V14+((V17-V14)*(($D16-$D14)/($D17-$D14)))</f>
        <v>1.5187499999999998</v>
      </c>
      <c r="W16" s="17"/>
      <c r="X16" s="25">
        <f t="shared" si="16"/>
        <v>113.18798316666665</v>
      </c>
      <c r="Y16" s="12">
        <f t="shared" si="5"/>
        <v>0.91820565277778554</v>
      </c>
      <c r="Z16" s="25">
        <v>1.74</v>
      </c>
      <c r="AA16" s="25">
        <v>0.3</v>
      </c>
      <c r="AB16" s="25">
        <f t="shared" si="6"/>
        <v>113.40923316666665</v>
      </c>
      <c r="AC16" s="12">
        <f t="shared" si="7"/>
        <v>0.9831889861111125</v>
      </c>
      <c r="AD16" s="12">
        <f>AD13+((AD17-AD13)*(($D16-$D13)/($D17-$D13)))</f>
        <v>1.5866666666666667</v>
      </c>
      <c r="AF16" s="25">
        <f t="shared" si="12"/>
        <v>113.25589983333333</v>
      </c>
      <c r="AG16" s="12">
        <f t="shared" si="13"/>
        <v>1.1613973194444511</v>
      </c>
      <c r="AI16" s="25">
        <f t="shared" si="3"/>
        <v>6.083333333333333</v>
      </c>
      <c r="AJ16" s="25">
        <f t="shared" si="4"/>
        <v>111.66923316666666</v>
      </c>
      <c r="AK16" s="25">
        <f t="shared" si="14"/>
        <v>113.15649999999999</v>
      </c>
      <c r="AL16" s="25">
        <f t="shared" si="8"/>
        <v>113.2433</v>
      </c>
      <c r="AM16" s="25">
        <f t="shared" si="9"/>
        <v>113.35469999999999</v>
      </c>
      <c r="AN16" s="25">
        <f t="shared" si="10"/>
        <v>113.6602</v>
      </c>
    </row>
    <row r="17" spans="1:40" s="25" customFormat="1" ht="14.5" customHeight="1" x14ac:dyDescent="0.35">
      <c r="A17" s="25" t="s">
        <v>161</v>
      </c>
      <c r="B17" s="25">
        <v>6</v>
      </c>
      <c r="C17" s="25">
        <v>7</v>
      </c>
      <c r="D17" s="25">
        <v>6.583333333333333</v>
      </c>
      <c r="G17" s="20"/>
      <c r="H17" s="20"/>
      <c r="I17" s="20"/>
      <c r="J17" s="20"/>
      <c r="K17" s="20"/>
      <c r="L17" s="20"/>
      <c r="M17" s="20"/>
      <c r="N17" s="20"/>
      <c r="O17" s="20"/>
      <c r="P17" s="25">
        <f t="shared" si="2"/>
        <v>6.583333333333333</v>
      </c>
      <c r="Q17" s="12">
        <f>Q7+((Q19-Q7)*(($D17-$D7)/($D19-$D7)))</f>
        <v>111.57023316666667</v>
      </c>
      <c r="R17" s="25">
        <v>1.6</v>
      </c>
      <c r="S17" s="25">
        <v>0.2</v>
      </c>
      <c r="T17" s="25">
        <f t="shared" si="15"/>
        <v>113.17023316666666</v>
      </c>
      <c r="U17" s="12">
        <f t="shared" si="11"/>
        <v>1.2557945763888836</v>
      </c>
      <c r="V17" s="25">
        <v>1.65</v>
      </c>
      <c r="W17" s="25">
        <v>0.55000000000000004</v>
      </c>
      <c r="X17" s="25">
        <f t="shared" si="16"/>
        <v>113.22023316666667</v>
      </c>
      <c r="Y17" s="12">
        <f t="shared" si="5"/>
        <v>1.324511243055559</v>
      </c>
      <c r="Z17" s="25">
        <v>1.77</v>
      </c>
      <c r="AA17" s="25">
        <v>0.4</v>
      </c>
      <c r="AB17" s="25">
        <f t="shared" si="6"/>
        <v>113.34023316666666</v>
      </c>
      <c r="AC17" s="12">
        <f t="shared" si="7"/>
        <v>1.412702909722217</v>
      </c>
      <c r="AD17" s="25">
        <v>1.63</v>
      </c>
      <c r="AE17" s="25">
        <v>0.3</v>
      </c>
      <c r="AF17" s="25">
        <f t="shared" si="12"/>
        <v>113.20023316666666</v>
      </c>
      <c r="AG17" s="12">
        <f t="shared" si="13"/>
        <v>1.654557076388891</v>
      </c>
      <c r="AI17" s="25">
        <f t="shared" si="3"/>
        <v>6.583333333333333</v>
      </c>
      <c r="AJ17" s="25">
        <f t="shared" si="4"/>
        <v>111.57023316666667</v>
      </c>
      <c r="AK17" s="25">
        <f t="shared" si="14"/>
        <v>113.15649999999999</v>
      </c>
      <c r="AL17" s="25">
        <f t="shared" si="8"/>
        <v>113.2433</v>
      </c>
      <c r="AM17" s="25">
        <f t="shared" si="9"/>
        <v>113.35469999999999</v>
      </c>
      <c r="AN17" s="25">
        <f t="shared" si="10"/>
        <v>113.6602</v>
      </c>
    </row>
    <row r="18" spans="1:40" s="25" customFormat="1" ht="14.5" customHeight="1" x14ac:dyDescent="0.35">
      <c r="A18" s="25" t="s">
        <v>83</v>
      </c>
      <c r="B18" s="25">
        <v>7</v>
      </c>
      <c r="C18" s="25">
        <v>8</v>
      </c>
      <c r="D18" s="25">
        <f t="shared" ref="D18" si="18">B18+(C18/12)</f>
        <v>7.666666666666667</v>
      </c>
      <c r="G18" s="20"/>
      <c r="H18" s="20"/>
      <c r="I18" s="20"/>
      <c r="J18" s="20"/>
      <c r="K18" s="20"/>
      <c r="L18" s="20"/>
      <c r="M18" s="20"/>
      <c r="N18" s="20"/>
      <c r="O18" s="20"/>
      <c r="P18" s="25">
        <f t="shared" si="2"/>
        <v>7.666666666666667</v>
      </c>
      <c r="Q18" s="12">
        <f>Q7+((Q19-Q7)*(($D18-$D7)/($D19-$D7)))</f>
        <v>111.35573316666667</v>
      </c>
      <c r="R18" s="12">
        <f>R17+((R21-R17)*(($D18-$D17)/($D21-$D17)))</f>
        <v>1.8935483870967744</v>
      </c>
      <c r="T18" s="25">
        <f t="shared" si="15"/>
        <v>113.24928155376344</v>
      </c>
      <c r="U18" s="12">
        <f t="shared" si="11"/>
        <v>1.2755431736111069</v>
      </c>
      <c r="V18" s="12">
        <f>V17+((V21-V17)*(($D18-$D17)/($D21-$D17)))</f>
        <v>1.9645161290322581</v>
      </c>
      <c r="X18" s="25">
        <f t="shared" si="16"/>
        <v>113.32024929569893</v>
      </c>
      <c r="Y18" s="12">
        <f t="shared" si="5"/>
        <v>1.337026506944448</v>
      </c>
      <c r="Z18" s="25">
        <v>2</v>
      </c>
      <c r="AA18" s="25">
        <v>0.8</v>
      </c>
      <c r="AB18" s="25">
        <f t="shared" si="6"/>
        <v>113.35573316666667</v>
      </c>
      <c r="AC18" s="12">
        <f t="shared" si="7"/>
        <v>1.4159348402777736</v>
      </c>
      <c r="AD18" s="12">
        <f>AD17+((AD21-AD17)*(($D18-$D17)/($D21-$D17)))</f>
        <v>2.120645161290323</v>
      </c>
      <c r="AF18" s="25">
        <f t="shared" si="12"/>
        <v>113.47637832795699</v>
      </c>
      <c r="AG18" s="12">
        <f t="shared" si="13"/>
        <v>1.6323306736111136</v>
      </c>
      <c r="AI18" s="25">
        <f t="shared" si="3"/>
        <v>7.666666666666667</v>
      </c>
      <c r="AJ18" s="25">
        <f t="shared" si="4"/>
        <v>111.35573316666667</v>
      </c>
      <c r="AK18" s="25">
        <f t="shared" si="14"/>
        <v>113.15649999999999</v>
      </c>
      <c r="AL18" s="25">
        <f t="shared" si="8"/>
        <v>113.2433</v>
      </c>
      <c r="AM18" s="25">
        <f t="shared" si="9"/>
        <v>113.35469999999999</v>
      </c>
      <c r="AN18" s="25">
        <f t="shared" si="10"/>
        <v>113.6602</v>
      </c>
    </row>
    <row r="19" spans="1:40" ht="14.5" customHeight="1" x14ac:dyDescent="0.35">
      <c r="A19" s="25" t="s">
        <v>67</v>
      </c>
      <c r="B19" s="21">
        <v>8</v>
      </c>
      <c r="C19" s="21">
        <v>0</v>
      </c>
      <c r="D19" s="21">
        <f t="shared" si="0"/>
        <v>8</v>
      </c>
      <c r="E19" s="21">
        <v>8.14</v>
      </c>
      <c r="F19" s="20"/>
      <c r="G19" s="20"/>
      <c r="H19" s="20"/>
      <c r="I19" s="20"/>
      <c r="J19" s="20">
        <v>0.1</v>
      </c>
      <c r="K19" s="20">
        <v>0.5</v>
      </c>
      <c r="L19" s="20">
        <v>0.4</v>
      </c>
      <c r="M19" s="20"/>
      <c r="N19" s="20"/>
      <c r="O19" s="20">
        <f t="shared" si="1"/>
        <v>1</v>
      </c>
      <c r="P19" s="25">
        <f t="shared" si="2"/>
        <v>8</v>
      </c>
      <c r="Q19" s="25">
        <f>$B$52-E19</f>
        <v>111.28973316666666</v>
      </c>
      <c r="R19" s="12">
        <f>R17+((R21-R17)*(($D19-$D17)/($D21-$D17)))</f>
        <v>1.9838709677419355</v>
      </c>
      <c r="T19" s="25">
        <f t="shared" si="15"/>
        <v>113.2736041344086</v>
      </c>
      <c r="U19" s="12">
        <f t="shared" si="11"/>
        <v>1.2445112222222194</v>
      </c>
      <c r="V19" s="12">
        <f>V17+((V21-V17)*(($D19-$D17)/($D21-$D17)))</f>
        <v>2.0612903225806454</v>
      </c>
      <c r="X19" s="25">
        <f t="shared" si="16"/>
        <v>113.35102348924731</v>
      </c>
      <c r="Y19" s="12">
        <f t="shared" si="5"/>
        <v>1.3023778888888933</v>
      </c>
      <c r="Z19" s="12">
        <f>Z18+((Z20-Z18)*(($D19-$D18)/($D20-$D18)))</f>
        <v>2.1</v>
      </c>
      <c r="AB19" s="25">
        <f t="shared" si="6"/>
        <v>113.38973316666666</v>
      </c>
      <c r="AC19" s="12">
        <f t="shared" si="7"/>
        <v>1.3766445555555527</v>
      </c>
      <c r="AD19" s="12">
        <f>AD17+((AD21-AD17)*(($D19-$D17)/($D21-$D17)))</f>
        <v>2.2716129032258063</v>
      </c>
      <c r="AF19" s="25">
        <f t="shared" si="12"/>
        <v>113.56134606989247</v>
      </c>
      <c r="AG19" s="12">
        <f t="shared" si="13"/>
        <v>1.5803112222222255</v>
      </c>
      <c r="AI19" s="25">
        <f t="shared" si="3"/>
        <v>8</v>
      </c>
      <c r="AJ19" s="25">
        <f t="shared" si="4"/>
        <v>111.28973316666666</v>
      </c>
      <c r="AK19" s="25">
        <f t="shared" si="14"/>
        <v>113.15649999999999</v>
      </c>
      <c r="AL19" s="25">
        <f t="shared" si="8"/>
        <v>113.2433</v>
      </c>
      <c r="AM19" s="25">
        <f t="shared" si="9"/>
        <v>113.35469999999999</v>
      </c>
      <c r="AN19" s="25">
        <f t="shared" si="10"/>
        <v>113.6602</v>
      </c>
    </row>
    <row r="20" spans="1:40" s="25" customFormat="1" ht="14.5" customHeight="1" x14ac:dyDescent="0.35">
      <c r="A20" s="25" t="s">
        <v>83</v>
      </c>
      <c r="B20" s="25">
        <v>9</v>
      </c>
      <c r="C20" s="25">
        <v>0</v>
      </c>
      <c r="D20" s="25">
        <f>B20+(C20/12)</f>
        <v>9</v>
      </c>
      <c r="G20" s="20"/>
      <c r="H20" s="20"/>
      <c r="I20" s="20"/>
      <c r="J20" s="20"/>
      <c r="K20" s="20"/>
      <c r="L20" s="20"/>
      <c r="M20" s="20"/>
      <c r="N20" s="20"/>
      <c r="O20" s="20"/>
      <c r="P20" s="25">
        <f t="shared" si="2"/>
        <v>9</v>
      </c>
      <c r="Q20" s="12">
        <f>Q19+((Q24-Q19)*(($D20-$D19)/($D24-$D19)))</f>
        <v>111.11223316666667</v>
      </c>
      <c r="R20" s="12">
        <f>R17+((R21-R17)*(($D20-$D17)/($D21-$D17)))</f>
        <v>2.2548387096774194</v>
      </c>
      <c r="T20" s="25">
        <f t="shared" si="15"/>
        <v>113.36707187634408</v>
      </c>
      <c r="U20" s="12">
        <f t="shared" si="11"/>
        <v>1.1924889861111054</v>
      </c>
      <c r="V20" s="12">
        <f>V17+((V21-V17)*(($D20-$D17)/($D21-$D17)))</f>
        <v>2.3516129032258064</v>
      </c>
      <c r="X20" s="25">
        <f t="shared" si="16"/>
        <v>113.46384606989247</v>
      </c>
      <c r="Y20" s="12">
        <f t="shared" si="5"/>
        <v>1.243122319444445</v>
      </c>
      <c r="Z20" s="25">
        <v>2.4</v>
      </c>
      <c r="AB20" s="25">
        <f t="shared" si="6"/>
        <v>113.51223316666668</v>
      </c>
      <c r="AC20" s="12">
        <f t="shared" si="7"/>
        <v>1.3081056527777719</v>
      </c>
      <c r="AD20" s="12">
        <f>AD17+((AD21-AD17)*(($D20-$D17)/($D21-$D17)))</f>
        <v>2.7245161290322581</v>
      </c>
      <c r="AF20" s="25">
        <f t="shared" si="12"/>
        <v>113.83674929569892</v>
      </c>
      <c r="AG20" s="12">
        <f t="shared" si="13"/>
        <v>1.4863139861111105</v>
      </c>
      <c r="AI20" s="25">
        <f t="shared" si="3"/>
        <v>9</v>
      </c>
      <c r="AJ20" s="25">
        <f t="shared" si="4"/>
        <v>111.11223316666667</v>
      </c>
      <c r="AK20" s="25">
        <f t="shared" si="14"/>
        <v>113.15649999999999</v>
      </c>
      <c r="AL20" s="25">
        <f t="shared" si="8"/>
        <v>113.2433</v>
      </c>
      <c r="AM20" s="25">
        <f t="shared" si="9"/>
        <v>113.35469999999999</v>
      </c>
      <c r="AN20" s="25">
        <f t="shared" si="10"/>
        <v>113.6602</v>
      </c>
    </row>
    <row r="21" spans="1:40" s="25" customFormat="1" ht="14.5" customHeight="1" x14ac:dyDescent="0.35">
      <c r="A21" s="25" t="s">
        <v>85</v>
      </c>
      <c r="B21" s="25">
        <v>9</v>
      </c>
      <c r="C21" s="25">
        <v>2</v>
      </c>
      <c r="D21" s="25">
        <v>9.1666666666666661</v>
      </c>
      <c r="G21" s="20"/>
      <c r="H21" s="20"/>
      <c r="I21" s="20"/>
      <c r="J21" s="20"/>
      <c r="K21" s="20"/>
      <c r="L21" s="20"/>
      <c r="M21" s="20"/>
      <c r="N21" s="20"/>
      <c r="O21" s="20"/>
      <c r="P21" s="25">
        <f t="shared" si="2"/>
        <v>9.1666666666666661</v>
      </c>
      <c r="Q21" s="12">
        <f>Q19+((Q24-Q19)*(($D21-$D19)/($D24-$D19)))</f>
        <v>111.08264983333333</v>
      </c>
      <c r="R21" s="25">
        <v>2.2999999999999998</v>
      </c>
      <c r="S21" s="25">
        <v>0.65</v>
      </c>
      <c r="T21" s="25">
        <f t="shared" si="15"/>
        <v>113.38264983333333</v>
      </c>
      <c r="U21" s="12">
        <f t="shared" si="11"/>
        <v>1.9010293194444383</v>
      </c>
      <c r="V21" s="25">
        <v>2.4</v>
      </c>
      <c r="W21" s="25">
        <v>0.8</v>
      </c>
      <c r="X21" s="25">
        <f t="shared" si="16"/>
        <v>113.48264983333334</v>
      </c>
      <c r="Y21" s="12">
        <f t="shared" si="5"/>
        <v>1.9805959861111151</v>
      </c>
      <c r="Z21" s="12">
        <f>Z20+((Z22-Z20)*(($D21-$D20)/($D22-$D20)))</f>
        <v>2.4409090909090905</v>
      </c>
      <c r="AB21" s="25">
        <f t="shared" si="6"/>
        <v>113.52355892424242</v>
      </c>
      <c r="AC21" s="12">
        <f t="shared" si="7"/>
        <v>2.0827126527777717</v>
      </c>
      <c r="AD21" s="25">
        <v>2.8</v>
      </c>
      <c r="AE21" s="25">
        <v>1.61</v>
      </c>
      <c r="AF21" s="25">
        <f t="shared" si="12"/>
        <v>113.88264983333333</v>
      </c>
      <c r="AG21" s="12">
        <f t="shared" si="13"/>
        <v>2.3627543194444467</v>
      </c>
      <c r="AI21" s="25">
        <f t="shared" si="3"/>
        <v>9.1666666666666661</v>
      </c>
      <c r="AJ21" s="25">
        <f t="shared" si="4"/>
        <v>111.08264983333333</v>
      </c>
      <c r="AK21" s="25">
        <f t="shared" si="14"/>
        <v>113.15649999999999</v>
      </c>
      <c r="AL21" s="25">
        <f t="shared" si="8"/>
        <v>113.2433</v>
      </c>
      <c r="AM21" s="25">
        <f t="shared" si="9"/>
        <v>113.35469999999999</v>
      </c>
      <c r="AN21" s="25">
        <f t="shared" si="10"/>
        <v>113.6602</v>
      </c>
    </row>
    <row r="22" spans="1:40" s="25" customFormat="1" ht="14.5" customHeight="1" x14ac:dyDescent="0.35">
      <c r="A22" s="25" t="s">
        <v>161</v>
      </c>
      <c r="B22" s="25">
        <v>10</v>
      </c>
      <c r="C22" s="25">
        <v>10</v>
      </c>
      <c r="D22" s="25">
        <f t="shared" si="0"/>
        <v>10.833333333333334</v>
      </c>
      <c r="G22" s="20"/>
      <c r="H22" s="20"/>
      <c r="I22" s="20"/>
      <c r="J22" s="20"/>
      <c r="K22" s="20"/>
      <c r="L22" s="20"/>
      <c r="M22" s="20"/>
      <c r="N22" s="20"/>
      <c r="O22" s="20"/>
      <c r="P22" s="25">
        <f t="shared" si="2"/>
        <v>10.833333333333334</v>
      </c>
      <c r="Q22" s="12">
        <f>Q19+((Q24-Q19)*(($D22-$D19)/($D24-$D19)))</f>
        <v>110.7868165</v>
      </c>
      <c r="R22" s="25">
        <v>2.4</v>
      </c>
      <c r="S22" s="25">
        <v>0.4</v>
      </c>
      <c r="T22" s="25">
        <f t="shared" si="15"/>
        <v>113.18681650000001</v>
      </c>
      <c r="U22" s="12">
        <f t="shared" si="11"/>
        <v>3.0608411874999923</v>
      </c>
      <c r="V22" s="25">
        <v>2.73</v>
      </c>
      <c r="W22" s="25">
        <v>0.5</v>
      </c>
      <c r="X22" s="25">
        <f t="shared" si="16"/>
        <v>113.5168165</v>
      </c>
      <c r="Y22" s="12">
        <f t="shared" si="5"/>
        <v>3.1729578541666732</v>
      </c>
      <c r="Z22" s="25">
        <v>2.85</v>
      </c>
      <c r="AA22" s="25">
        <v>1.31</v>
      </c>
      <c r="AB22" s="25">
        <f t="shared" si="6"/>
        <v>113.63681649999999</v>
      </c>
      <c r="AC22" s="12">
        <f t="shared" si="7"/>
        <v>3.3168495208333257</v>
      </c>
      <c r="AD22" s="25">
        <v>3.2</v>
      </c>
      <c r="AE22" s="25">
        <v>2.56</v>
      </c>
      <c r="AF22" s="25">
        <f t="shared" si="12"/>
        <v>113.9868165</v>
      </c>
      <c r="AG22" s="12">
        <f t="shared" si="13"/>
        <v>3.7114536875000046</v>
      </c>
      <c r="AI22" s="25">
        <f t="shared" si="3"/>
        <v>10.833333333333334</v>
      </c>
      <c r="AJ22" s="25">
        <f t="shared" si="4"/>
        <v>110.7868165</v>
      </c>
      <c r="AK22" s="25">
        <f t="shared" si="14"/>
        <v>113.15649999999999</v>
      </c>
      <c r="AL22" s="25">
        <f t="shared" si="8"/>
        <v>113.2433</v>
      </c>
      <c r="AM22" s="25">
        <f t="shared" si="9"/>
        <v>113.35469999999999</v>
      </c>
      <c r="AN22" s="25">
        <f t="shared" si="10"/>
        <v>113.6602</v>
      </c>
    </row>
    <row r="23" spans="1:40" s="25" customFormat="1" ht="14.5" customHeight="1" x14ac:dyDescent="0.35">
      <c r="A23" s="25" t="s">
        <v>84</v>
      </c>
      <c r="B23" s="25">
        <v>11</v>
      </c>
      <c r="C23" s="25">
        <v>9</v>
      </c>
      <c r="D23" s="25">
        <v>11.75</v>
      </c>
      <c r="G23" s="20"/>
      <c r="H23" s="20"/>
      <c r="I23" s="20"/>
      <c r="J23" s="20"/>
      <c r="K23" s="20"/>
      <c r="L23" s="20"/>
      <c r="M23" s="20"/>
      <c r="N23" s="20"/>
      <c r="O23" s="20"/>
      <c r="P23" s="25">
        <f t="shared" si="2"/>
        <v>11.75</v>
      </c>
      <c r="Q23" s="12">
        <f>Q19+((Q24-Q19)*(($D23-$D19)/($D24-$D19)))</f>
        <v>110.62410816666667</v>
      </c>
      <c r="R23" s="12">
        <f>R22+((R25-R22)*(($D23-$D22)/($D25-$D22)))</f>
        <v>2.5005714285714284</v>
      </c>
      <c r="T23" s="25">
        <f t="shared" si="15"/>
        <v>113.12467959523811</v>
      </c>
      <c r="U23" s="12">
        <f t="shared" si="11"/>
        <v>1.4772285694444365</v>
      </c>
      <c r="V23" s="25">
        <v>2.82</v>
      </c>
      <c r="W23" s="25">
        <v>0.3</v>
      </c>
      <c r="X23" s="25">
        <f t="shared" si="16"/>
        <v>113.44410816666667</v>
      </c>
      <c r="Y23" s="12">
        <f t="shared" si="5"/>
        <v>1.5278619027777762</v>
      </c>
      <c r="Z23" s="25">
        <v>3.06</v>
      </c>
      <c r="AA23" s="25">
        <v>1.27</v>
      </c>
      <c r="AB23" s="25">
        <f t="shared" si="6"/>
        <v>113.68410816666668</v>
      </c>
      <c r="AC23" s="12">
        <f t="shared" si="7"/>
        <v>1.5928452361111032</v>
      </c>
      <c r="AD23" s="25">
        <v>3.3</v>
      </c>
      <c r="AE23" s="25">
        <v>2.4</v>
      </c>
      <c r="AF23" s="25">
        <f t="shared" si="12"/>
        <v>113.92410816666667</v>
      </c>
      <c r="AG23" s="12">
        <f t="shared" si="13"/>
        <v>1.7710535694444418</v>
      </c>
      <c r="AI23" s="25">
        <f t="shared" si="3"/>
        <v>11.75</v>
      </c>
      <c r="AJ23" s="25">
        <f t="shared" si="4"/>
        <v>110.62410816666667</v>
      </c>
      <c r="AK23" s="25">
        <f t="shared" si="14"/>
        <v>113.15649999999999</v>
      </c>
      <c r="AL23" s="25">
        <f t="shared" si="8"/>
        <v>113.2433</v>
      </c>
      <c r="AM23" s="25">
        <f t="shared" si="9"/>
        <v>113.35469999999999</v>
      </c>
      <c r="AN23" s="25">
        <f t="shared" si="10"/>
        <v>113.6602</v>
      </c>
    </row>
    <row r="24" spans="1:40" ht="14.5" customHeight="1" x14ac:dyDescent="0.35">
      <c r="A24" s="25" t="s">
        <v>67</v>
      </c>
      <c r="B24" s="21">
        <v>12</v>
      </c>
      <c r="C24" s="21">
        <v>0</v>
      </c>
      <c r="D24" s="21">
        <f t="shared" si="0"/>
        <v>12</v>
      </c>
      <c r="E24" s="21">
        <v>8.85</v>
      </c>
      <c r="F24" s="20"/>
      <c r="G24" s="20"/>
      <c r="H24" s="20"/>
      <c r="I24" s="20"/>
      <c r="J24" s="20"/>
      <c r="K24" s="20"/>
      <c r="L24" s="20"/>
      <c r="M24" s="20"/>
      <c r="N24" s="20">
        <v>1</v>
      </c>
      <c r="O24" s="20">
        <f t="shared" si="1"/>
        <v>1</v>
      </c>
      <c r="P24" s="25">
        <f t="shared" si="2"/>
        <v>12</v>
      </c>
      <c r="Q24" s="25">
        <f>$B$52-E24</f>
        <v>110.57973316666667</v>
      </c>
      <c r="R24" s="12">
        <f>R22+((R25-R22)*(($D24-$D22)/($D25-$D22)))</f>
        <v>2.528</v>
      </c>
      <c r="T24" s="25">
        <f t="shared" si="15"/>
        <v>113.10773316666668</v>
      </c>
      <c r="U24" s="12">
        <f t="shared" si="11"/>
        <v>0.69787435069444093</v>
      </c>
      <c r="V24" s="12">
        <f>V23+((V29-V23)*(($D24-$D23)/($D29-$D23)))</f>
        <v>2.5299999999999998</v>
      </c>
      <c r="X24" s="25">
        <f t="shared" si="16"/>
        <v>113.10973316666667</v>
      </c>
      <c r="Y24" s="12">
        <f t="shared" si="5"/>
        <v>0.72138268402777728</v>
      </c>
      <c r="Z24" s="12">
        <f>Z23+((Z26-Z23)*(($D24-$D23)/($D26-$D23)))</f>
        <v>3.0436363636363635</v>
      </c>
      <c r="AB24" s="25">
        <f t="shared" si="6"/>
        <v>113.62336953030304</v>
      </c>
      <c r="AC24" s="12">
        <f t="shared" si="7"/>
        <v>0.75155351736110754</v>
      </c>
      <c r="AD24" s="12">
        <f>AD23+((AD29-AD23)*(($D24-$D23)/($D29-$D23)))</f>
        <v>3.0124999999999997</v>
      </c>
      <c r="AF24" s="25">
        <f t="shared" si="12"/>
        <v>113.59223316666667</v>
      </c>
      <c r="AG24" s="12">
        <f t="shared" si="13"/>
        <v>0.83429310069444329</v>
      </c>
      <c r="AI24" s="25">
        <f t="shared" si="3"/>
        <v>12</v>
      </c>
      <c r="AJ24" s="25">
        <f t="shared" si="4"/>
        <v>110.57973316666667</v>
      </c>
      <c r="AK24" s="25">
        <f t="shared" si="14"/>
        <v>113.15649999999999</v>
      </c>
      <c r="AL24" s="25">
        <f t="shared" si="8"/>
        <v>113.2433</v>
      </c>
      <c r="AM24" s="25">
        <f t="shared" si="9"/>
        <v>113.35469999999999</v>
      </c>
      <c r="AN24" s="25">
        <f t="shared" si="10"/>
        <v>113.6602</v>
      </c>
    </row>
    <row r="25" spans="1:40" s="25" customFormat="1" ht="14.5" customHeight="1" x14ac:dyDescent="0.35">
      <c r="A25" s="25" t="s">
        <v>68</v>
      </c>
      <c r="D25" s="25">
        <v>12.291666666666666</v>
      </c>
      <c r="G25" s="20"/>
      <c r="H25" s="20"/>
      <c r="I25" s="20"/>
      <c r="J25" s="20"/>
      <c r="K25" s="20"/>
      <c r="L25" s="20"/>
      <c r="M25" s="20"/>
      <c r="N25" s="20"/>
      <c r="O25" s="20"/>
      <c r="P25" s="25">
        <f t="shared" si="2"/>
        <v>12.291666666666666</v>
      </c>
      <c r="Q25" s="12">
        <f>Q24+((Q28-Q24)*(($D25-$D24)/($D28-$D24)))</f>
        <v>110.6209096372549</v>
      </c>
      <c r="R25" s="25">
        <v>2.56</v>
      </c>
      <c r="S25" s="25">
        <v>0</v>
      </c>
      <c r="T25" s="25">
        <f t="shared" si="15"/>
        <v>113.1809096372549</v>
      </c>
      <c r="U25" s="12">
        <f t="shared" si="11"/>
        <v>0.84519678758169825</v>
      </c>
      <c r="V25" s="12">
        <f>V23+((V29-V23)*(($D25-$D23)/($D29-$D23)))</f>
        <v>2.1916666666666673</v>
      </c>
      <c r="X25" s="25">
        <f t="shared" si="16"/>
        <v>112.81257630392156</v>
      </c>
      <c r="Y25" s="12">
        <f t="shared" si="5"/>
        <v>0.87413012091503517</v>
      </c>
      <c r="Z25" s="12">
        <f>Z23+((Z26-Z23)*(($D25-$D23)/($D26-$D23)))</f>
        <v>3.0245454545454544</v>
      </c>
      <c r="AB25" s="25">
        <f t="shared" si="6"/>
        <v>113.64545509180036</v>
      </c>
      <c r="AC25" s="12">
        <f t="shared" si="7"/>
        <v>0.91126345424836486</v>
      </c>
      <c r="AD25" s="12">
        <f>AD23+((AD29-AD23)*(($D25-$D23)/($D29-$D23)))</f>
        <v>2.6770833333333339</v>
      </c>
      <c r="AF25" s="25">
        <f t="shared" si="12"/>
        <v>113.29799297058823</v>
      </c>
      <c r="AG25" s="12">
        <f t="shared" si="13"/>
        <v>1.0130967875817012</v>
      </c>
      <c r="AI25" s="25">
        <f t="shared" si="3"/>
        <v>12.291666666666666</v>
      </c>
      <c r="AJ25" s="25">
        <f t="shared" si="4"/>
        <v>110.6209096372549</v>
      </c>
      <c r="AK25" s="25">
        <f t="shared" si="14"/>
        <v>113.15649999999999</v>
      </c>
      <c r="AL25" s="25">
        <f t="shared" si="8"/>
        <v>113.2433</v>
      </c>
      <c r="AM25" s="25">
        <f t="shared" si="9"/>
        <v>113.35469999999999</v>
      </c>
      <c r="AN25" s="25">
        <f t="shared" si="10"/>
        <v>113.6602</v>
      </c>
    </row>
    <row r="26" spans="1:40" s="25" customFormat="1" ht="14.5" customHeight="1" x14ac:dyDescent="0.35">
      <c r="A26" s="25" t="s">
        <v>83</v>
      </c>
      <c r="B26" s="25">
        <v>12</v>
      </c>
      <c r="C26" s="25">
        <v>8</v>
      </c>
      <c r="D26" s="25">
        <f>B26+(C26/12)</f>
        <v>12.666666666666666</v>
      </c>
      <c r="G26" s="20"/>
      <c r="H26" s="20"/>
      <c r="I26" s="20"/>
      <c r="J26" s="20"/>
      <c r="K26" s="20"/>
      <c r="L26" s="20"/>
      <c r="M26" s="20"/>
      <c r="N26" s="20"/>
      <c r="O26" s="20"/>
      <c r="P26" s="25">
        <f t="shared" si="2"/>
        <v>12.666666666666666</v>
      </c>
      <c r="Q26" s="12">
        <f>Q24+((Q28-Q24)*(($D26-$D24)/($D28-$D24)))</f>
        <v>110.67385081372549</v>
      </c>
      <c r="R26" s="12">
        <f>R25+((R29-R25)*(($D26-$D25)/($D29-$D25)))</f>
        <v>1.9865714285714287</v>
      </c>
      <c r="T26" s="25">
        <f t="shared" si="15"/>
        <v>112.66042224229692</v>
      </c>
      <c r="U26" s="12">
        <f t="shared" si="11"/>
        <v>0.87927158680555284</v>
      </c>
      <c r="V26" s="12">
        <f>V23+((V29-V23)*(($D26-$D23)/($D29-$D23)))</f>
        <v>1.7566666666666673</v>
      </c>
      <c r="X26" s="25">
        <f t="shared" si="16"/>
        <v>112.43051748039215</v>
      </c>
      <c r="Y26" s="12">
        <f t="shared" si="5"/>
        <v>0.91001325347222339</v>
      </c>
      <c r="Z26" s="25">
        <v>3</v>
      </c>
      <c r="AB26" s="25">
        <f t="shared" si="6"/>
        <v>113.67385081372549</v>
      </c>
      <c r="AC26" s="12">
        <f t="shared" si="7"/>
        <v>0.94946742013888619</v>
      </c>
      <c r="AD26" s="12">
        <f>AD23+((AD29-AD23)*(($D26-$D23)/($D29-$D23)))</f>
        <v>2.245833333333334</v>
      </c>
      <c r="AF26" s="25">
        <f t="shared" si="12"/>
        <v>112.91968414705883</v>
      </c>
      <c r="AG26" s="12">
        <f t="shared" si="13"/>
        <v>1.0576653368055562</v>
      </c>
      <c r="AI26" s="25">
        <f t="shared" si="3"/>
        <v>12.666666666666666</v>
      </c>
      <c r="AJ26" s="25">
        <f t="shared" si="4"/>
        <v>110.67385081372549</v>
      </c>
      <c r="AK26" s="25">
        <f t="shared" si="14"/>
        <v>113.15649999999999</v>
      </c>
      <c r="AL26" s="25">
        <f t="shared" si="8"/>
        <v>113.2433</v>
      </c>
      <c r="AM26" s="25">
        <f t="shared" si="9"/>
        <v>113.35469999999999</v>
      </c>
      <c r="AN26" s="25">
        <f t="shared" si="10"/>
        <v>113.6602</v>
      </c>
    </row>
    <row r="27" spans="1:40" s="25" customFormat="1" ht="14.5" customHeight="1" x14ac:dyDescent="0.35">
      <c r="A27" s="25" t="s">
        <v>83</v>
      </c>
      <c r="B27" s="25">
        <v>13</v>
      </c>
      <c r="C27" s="25">
        <v>0</v>
      </c>
      <c r="D27" s="25">
        <f>B27+(C27/12)</f>
        <v>13</v>
      </c>
      <c r="G27" s="20"/>
      <c r="H27" s="20"/>
      <c r="I27" s="20"/>
      <c r="J27" s="20"/>
      <c r="K27" s="20"/>
      <c r="L27" s="20"/>
      <c r="M27" s="20"/>
      <c r="N27" s="20"/>
      <c r="O27" s="20"/>
      <c r="P27" s="25">
        <f t="shared" si="2"/>
        <v>13</v>
      </c>
      <c r="Q27" s="12">
        <f>Q24+((Q28-Q24)*(($D27-$D24)/($D28-$D24)))</f>
        <v>110.72090963725489</v>
      </c>
      <c r="R27" s="12">
        <f>R25+((R29-R25)*(($D27-$D25)/($D29-$D25)))</f>
        <v>1.4768571428571424</v>
      </c>
      <c r="T27" s="25">
        <f t="shared" si="15"/>
        <v>112.19776678011203</v>
      </c>
      <c r="U27" s="12">
        <f t="shared" si="11"/>
        <v>0.91334638602941354</v>
      </c>
      <c r="V27" s="12">
        <f>V23+((V29-V23)*(($D27-$D23)/($D29-$D23)))</f>
        <v>1.3699999999999999</v>
      </c>
      <c r="X27" s="25">
        <f t="shared" si="16"/>
        <v>112.0909096372549</v>
      </c>
      <c r="Y27" s="12">
        <f t="shared" si="5"/>
        <v>0.94589638602941761</v>
      </c>
      <c r="Z27" s="25">
        <v>2.86</v>
      </c>
      <c r="AA27" s="25">
        <v>0.21</v>
      </c>
      <c r="AB27" s="25">
        <f t="shared" si="6"/>
        <v>113.58090963725489</v>
      </c>
      <c r="AC27" s="12">
        <f t="shared" si="7"/>
        <v>0.98767138602941351</v>
      </c>
      <c r="AD27" s="12">
        <f>AD23+((AD29-AD23)*(($D27-$D23)/($D29-$D23)))</f>
        <v>1.8624999999999998</v>
      </c>
      <c r="AF27" s="25">
        <f t="shared" si="12"/>
        <v>112.58340963725489</v>
      </c>
      <c r="AG27" s="12">
        <f t="shared" si="13"/>
        <v>1.102233886029417</v>
      </c>
      <c r="AI27" s="25">
        <f t="shared" si="3"/>
        <v>13</v>
      </c>
      <c r="AJ27" s="25">
        <f t="shared" si="4"/>
        <v>110.72090963725489</v>
      </c>
      <c r="AK27" s="25">
        <f t="shared" si="14"/>
        <v>113.15649999999999</v>
      </c>
      <c r="AL27" s="25">
        <f t="shared" si="8"/>
        <v>113.2433</v>
      </c>
      <c r="AM27" s="25">
        <f t="shared" si="9"/>
        <v>113.35469999999999</v>
      </c>
      <c r="AN27" s="25">
        <f t="shared" si="10"/>
        <v>113.6602</v>
      </c>
    </row>
    <row r="28" spans="1:40" ht="14.5" customHeight="1" x14ac:dyDescent="0.35">
      <c r="A28" s="25" t="s">
        <v>151</v>
      </c>
      <c r="B28" s="21">
        <v>13</v>
      </c>
      <c r="C28" s="21">
        <v>5</v>
      </c>
      <c r="D28" s="21">
        <f t="shared" si="0"/>
        <v>13.416666666666666</v>
      </c>
      <c r="E28" s="21">
        <v>8.65</v>
      </c>
      <c r="F28" s="20"/>
      <c r="G28" s="20"/>
      <c r="H28" s="20"/>
      <c r="I28" s="20"/>
      <c r="J28" s="20"/>
      <c r="K28" s="20"/>
      <c r="L28" s="20"/>
      <c r="M28" s="20"/>
      <c r="N28" s="20">
        <v>1</v>
      </c>
      <c r="O28" s="20">
        <f t="shared" si="1"/>
        <v>1</v>
      </c>
      <c r="P28" s="25">
        <f t="shared" si="2"/>
        <v>13.416666666666666</v>
      </c>
      <c r="Q28" s="25">
        <f>$B$52-E28</f>
        <v>110.77973316666666</v>
      </c>
      <c r="R28" s="12">
        <f>R25+((R29-R25)*(($D28-$D25)/($D29-$D25)))</f>
        <v>0.83971428571428652</v>
      </c>
      <c r="T28" s="25">
        <f t="shared" si="15"/>
        <v>111.61944745238094</v>
      </c>
      <c r="U28" s="12">
        <f t="shared" si="11"/>
        <v>0.89128756250000052</v>
      </c>
      <c r="V28" s="12">
        <f>V23+((V29-V23)*(($D28-$D23)/($D29-$D23)))</f>
        <v>0.88666666666666738</v>
      </c>
      <c r="X28" s="25">
        <f t="shared" si="16"/>
        <v>111.66639983333333</v>
      </c>
      <c r="Y28" s="12">
        <f t="shared" si="5"/>
        <v>0.92383756250000459</v>
      </c>
      <c r="Z28" s="25">
        <v>2.9</v>
      </c>
      <c r="AB28" s="25">
        <f t="shared" si="6"/>
        <v>113.67973316666667</v>
      </c>
      <c r="AC28" s="12">
        <f t="shared" si="7"/>
        <v>0.96561256250000049</v>
      </c>
      <c r="AD28" s="12">
        <f>AD23+((AD29-AD23)*(($D28-$D23)/($D29-$D23)))</f>
        <v>1.383333333333334</v>
      </c>
      <c r="AF28" s="25">
        <f t="shared" si="12"/>
        <v>112.1630665</v>
      </c>
      <c r="AG28" s="12">
        <f t="shared" si="13"/>
        <v>1.0801750625000039</v>
      </c>
      <c r="AI28" s="25">
        <f t="shared" si="3"/>
        <v>13.416666666666666</v>
      </c>
      <c r="AJ28" s="25">
        <f t="shared" si="4"/>
        <v>110.77973316666666</v>
      </c>
      <c r="AK28" s="25">
        <f t="shared" si="14"/>
        <v>113.15649999999999</v>
      </c>
      <c r="AL28" s="25">
        <f t="shared" si="8"/>
        <v>113.2433</v>
      </c>
      <c r="AM28" s="25">
        <f t="shared" si="9"/>
        <v>113.35469999999999</v>
      </c>
      <c r="AN28" s="25">
        <f t="shared" si="10"/>
        <v>113.6602</v>
      </c>
    </row>
    <row r="29" spans="1:40" s="25" customFormat="1" ht="14.5" customHeight="1" x14ac:dyDescent="0.35">
      <c r="A29" s="25" t="s">
        <v>85</v>
      </c>
      <c r="B29" s="25">
        <v>13</v>
      </c>
      <c r="C29" s="25">
        <v>9</v>
      </c>
      <c r="D29" s="25">
        <v>13.75</v>
      </c>
      <c r="G29" s="20"/>
      <c r="H29" s="20"/>
      <c r="I29" s="20"/>
      <c r="J29" s="20"/>
      <c r="K29" s="20"/>
      <c r="L29" s="20"/>
      <c r="M29" s="20"/>
      <c r="N29" s="20"/>
      <c r="O29" s="20"/>
      <c r="P29" s="25">
        <f t="shared" si="2"/>
        <v>13.75</v>
      </c>
      <c r="Q29" s="12">
        <f>Q28+((Q31-Q28)*(($D29-$D28)/($D31-$D28)))</f>
        <v>111.63064225757576</v>
      </c>
      <c r="R29" s="25">
        <v>0.33</v>
      </c>
      <c r="S29" s="25">
        <v>0</v>
      </c>
      <c r="T29" s="25">
        <f t="shared" si="15"/>
        <v>111.96064225757576</v>
      </c>
      <c r="U29" s="12">
        <f t="shared" si="11"/>
        <v>0.44504184154040266</v>
      </c>
      <c r="V29" s="25">
        <v>0.5</v>
      </c>
      <c r="W29" s="25">
        <v>-0.1</v>
      </c>
      <c r="X29" s="25">
        <f t="shared" si="16"/>
        <v>112.13064225757576</v>
      </c>
      <c r="Y29" s="12">
        <f t="shared" si="5"/>
        <v>0.47035850820707253</v>
      </c>
      <c r="Z29" s="12">
        <f>Z28+((Z30-Z28)*(($D29-$D28)/($D30-$D28)))</f>
        <v>1.5857142857142847</v>
      </c>
      <c r="AB29" s="25">
        <f t="shared" si="6"/>
        <v>113.21635654329005</v>
      </c>
      <c r="AC29" s="12">
        <f t="shared" si="7"/>
        <v>0.50285017487373607</v>
      </c>
      <c r="AD29" s="25">
        <v>1</v>
      </c>
      <c r="AE29" s="25">
        <v>-0.08</v>
      </c>
      <c r="AF29" s="25">
        <f t="shared" si="12"/>
        <v>112.63064225757576</v>
      </c>
      <c r="AG29" s="12">
        <f t="shared" si="13"/>
        <v>0.59195434154040549</v>
      </c>
      <c r="AI29" s="25">
        <f t="shared" si="3"/>
        <v>13.75</v>
      </c>
      <c r="AJ29" s="25">
        <f t="shared" si="4"/>
        <v>111.63064225757576</v>
      </c>
      <c r="AK29" s="25">
        <f t="shared" si="14"/>
        <v>113.15649999999999</v>
      </c>
      <c r="AL29" s="25">
        <f t="shared" si="8"/>
        <v>113.2433</v>
      </c>
      <c r="AM29" s="25">
        <f t="shared" si="9"/>
        <v>113.35469999999999</v>
      </c>
      <c r="AN29" s="25">
        <f t="shared" si="10"/>
        <v>113.6602</v>
      </c>
    </row>
    <row r="30" spans="1:40" s="25" customFormat="1" ht="14.5" customHeight="1" x14ac:dyDescent="0.35">
      <c r="A30" s="25" t="s">
        <v>83</v>
      </c>
      <c r="B30" s="25">
        <v>14</v>
      </c>
      <c r="C30" s="25">
        <v>0</v>
      </c>
      <c r="D30" s="25">
        <f>B30+(C30/12)</f>
        <v>14</v>
      </c>
      <c r="G30" s="20"/>
      <c r="H30" s="20"/>
      <c r="I30" s="20"/>
      <c r="J30" s="20"/>
      <c r="K30" s="20"/>
      <c r="L30" s="20"/>
      <c r="M30" s="20"/>
      <c r="N30" s="20"/>
      <c r="O30" s="20"/>
      <c r="P30" s="25">
        <f t="shared" si="2"/>
        <v>14</v>
      </c>
      <c r="Q30" s="12">
        <f>Q28+((Q31-Q28)*(($D30-$D28)/($D31-$D28)))</f>
        <v>112.26882407575756</v>
      </c>
      <c r="R30" s="12">
        <f>R29+((R33-R29)*(($D30-$D29)/($D33-$D29)))</f>
        <v>0.33840000000000003</v>
      </c>
      <c r="T30" s="25">
        <f t="shared" si="15"/>
        <v>112.60722407575756</v>
      </c>
      <c r="U30" s="12">
        <f t="shared" si="11"/>
        <v>0.25890547790404234</v>
      </c>
      <c r="V30" s="12">
        <f>V29+((V33-V29)*(($D30-$D29)/($D33-$D29)))</f>
        <v>0.51200000000000001</v>
      </c>
      <c r="X30" s="25">
        <f t="shared" si="16"/>
        <v>112.78082407575756</v>
      </c>
      <c r="Y30" s="12">
        <f t="shared" si="5"/>
        <v>0.28422214457071221</v>
      </c>
      <c r="Z30" s="25">
        <v>0.6</v>
      </c>
      <c r="AA30" s="25">
        <v>-0.02</v>
      </c>
      <c r="AB30" s="25">
        <f t="shared" si="6"/>
        <v>112.86882407575756</v>
      </c>
      <c r="AC30" s="12">
        <f t="shared" si="7"/>
        <v>0.31671381123737569</v>
      </c>
      <c r="AD30" s="12">
        <f>AD29+((AD33-AD29)*(($D30-$D29)/($D33-$D29)))</f>
        <v>1.012</v>
      </c>
      <c r="AF30" s="25">
        <f t="shared" si="12"/>
        <v>113.28082407575756</v>
      </c>
      <c r="AG30" s="12">
        <f t="shared" si="13"/>
        <v>0.40581797790404511</v>
      </c>
      <c r="AI30" s="25">
        <f t="shared" si="3"/>
        <v>14</v>
      </c>
      <c r="AJ30" s="25">
        <f t="shared" si="4"/>
        <v>112.26882407575756</v>
      </c>
      <c r="AK30" s="25">
        <f t="shared" si="14"/>
        <v>113.15649999999999</v>
      </c>
      <c r="AL30" s="25">
        <f t="shared" si="8"/>
        <v>113.2433</v>
      </c>
      <c r="AM30" s="25">
        <f t="shared" si="9"/>
        <v>113.35469999999999</v>
      </c>
      <c r="AN30" s="25">
        <f t="shared" si="10"/>
        <v>113.6602</v>
      </c>
    </row>
    <row r="31" spans="1:40" ht="14.5" customHeight="1" x14ac:dyDescent="0.35">
      <c r="A31" s="25" t="s">
        <v>67</v>
      </c>
      <c r="B31" s="21">
        <v>14</v>
      </c>
      <c r="C31" s="21">
        <v>4</v>
      </c>
      <c r="D31" s="21">
        <f t="shared" si="0"/>
        <v>14.333333333333334</v>
      </c>
      <c r="E31" s="21">
        <v>6.31</v>
      </c>
      <c r="F31" s="20"/>
      <c r="G31" s="20"/>
      <c r="H31" s="20"/>
      <c r="I31" s="20"/>
      <c r="J31" s="20"/>
      <c r="K31" s="20"/>
      <c r="L31" s="20"/>
      <c r="M31" s="20"/>
      <c r="N31" s="20">
        <v>1</v>
      </c>
      <c r="O31" s="20">
        <f t="shared" si="1"/>
        <v>1</v>
      </c>
      <c r="P31" s="25">
        <f t="shared" si="2"/>
        <v>14.333333333333334</v>
      </c>
      <c r="Q31" s="25">
        <f>$B$52-E31</f>
        <v>113.11973316666666</v>
      </c>
      <c r="R31" s="12">
        <f>R29+((R33-R29)*(($D31-$D29)/($D33-$D29)))</f>
        <v>0.34960000000000002</v>
      </c>
      <c r="T31" s="25">
        <f t="shared" si="15"/>
        <v>113.46933316666666</v>
      </c>
      <c r="U31" s="12">
        <f t="shared" si="11"/>
        <v>1.8383416666665653E-2</v>
      </c>
      <c r="V31" s="12">
        <f>V29+((V33-V29)*(($D31-$D29)/($D33-$D29)))</f>
        <v>0.52800000000000002</v>
      </c>
      <c r="X31" s="25">
        <f t="shared" si="16"/>
        <v>113.64773316666667</v>
      </c>
      <c r="Y31" s="12">
        <f t="shared" si="5"/>
        <v>6.1783416666671087E-2</v>
      </c>
      <c r="Z31" s="12">
        <f>Z30+((Z32-Z30)*(($D31-$D30)/($D32-$D30)))</f>
        <v>0.6</v>
      </c>
      <c r="AB31" s="25">
        <f t="shared" si="6"/>
        <v>113.71973316666666</v>
      </c>
      <c r="AC31" s="12">
        <f t="shared" si="7"/>
        <v>0.11748341666666562</v>
      </c>
      <c r="AD31" s="12">
        <f>AD29+((AD33-AD29)*(($D31-$D29)/($D33-$D29)))</f>
        <v>1.028</v>
      </c>
      <c r="AF31" s="25">
        <f t="shared" si="12"/>
        <v>114.14773316666667</v>
      </c>
      <c r="AG31" s="12">
        <f t="shared" si="13"/>
        <v>0.27023341666667022</v>
      </c>
      <c r="AI31" s="25">
        <f t="shared" si="3"/>
        <v>14.333333333333334</v>
      </c>
      <c r="AJ31" s="25">
        <f t="shared" si="4"/>
        <v>113.11973316666666</v>
      </c>
      <c r="AK31" s="25">
        <f t="shared" si="14"/>
        <v>113.15649999999999</v>
      </c>
      <c r="AL31" s="25">
        <f t="shared" si="8"/>
        <v>113.2433</v>
      </c>
      <c r="AM31" s="25">
        <f t="shared" si="9"/>
        <v>113.35469999999999</v>
      </c>
      <c r="AN31" s="25">
        <f t="shared" si="10"/>
        <v>113.6602</v>
      </c>
    </row>
    <row r="32" spans="1:40" s="25" customFormat="1" ht="14.5" customHeight="1" x14ac:dyDescent="0.35">
      <c r="A32" s="25" t="s">
        <v>83</v>
      </c>
      <c r="B32" s="25">
        <v>15</v>
      </c>
      <c r="C32" s="25">
        <v>0</v>
      </c>
      <c r="D32" s="25">
        <f>B32+(C32/12)</f>
        <v>15</v>
      </c>
      <c r="G32" s="20"/>
      <c r="H32" s="20"/>
      <c r="I32" s="20"/>
      <c r="J32" s="20"/>
      <c r="K32" s="20"/>
      <c r="L32" s="20"/>
      <c r="M32" s="20"/>
      <c r="N32" s="20"/>
      <c r="O32" s="20"/>
      <c r="P32" s="25">
        <f t="shared" si="2"/>
        <v>15</v>
      </c>
      <c r="Q32" s="12">
        <f>Q31+((Q34-Q31)*(($D32-$D31)/($D34-$D31)))</f>
        <v>113.01306649999999</v>
      </c>
      <c r="R32" s="12">
        <f>R29+((R33-R29)*(($D32-$D29)/($D33-$D29)))</f>
        <v>0.372</v>
      </c>
      <c r="T32" s="25">
        <f t="shared" si="15"/>
        <v>113.38506649999999</v>
      </c>
      <c r="U32" s="12">
        <f t="shared" si="11"/>
        <v>0.10757512500000033</v>
      </c>
      <c r="V32" s="12">
        <f>V29+((V33-V29)*(($D32-$D29)/($D33-$D29)))</f>
        <v>0.55999999999999994</v>
      </c>
      <c r="X32" s="25">
        <f t="shared" si="16"/>
        <v>113.5730665</v>
      </c>
      <c r="Y32" s="12">
        <f t="shared" si="5"/>
        <v>0.17267512500000848</v>
      </c>
      <c r="Z32" s="25">
        <v>0.6</v>
      </c>
      <c r="AB32" s="25">
        <f t="shared" si="6"/>
        <v>113.61306649999999</v>
      </c>
      <c r="AC32" s="12">
        <f t="shared" si="7"/>
        <v>0.25622512500000028</v>
      </c>
      <c r="AD32" s="12">
        <f>AD29+((AD33-AD29)*(($D32-$D29)/($D33-$D29)))</f>
        <v>1.06</v>
      </c>
      <c r="AF32" s="25">
        <f t="shared" si="12"/>
        <v>114.0730665</v>
      </c>
      <c r="AG32" s="12">
        <f t="shared" si="13"/>
        <v>0.48535012500000718</v>
      </c>
      <c r="AI32" s="25">
        <f t="shared" si="3"/>
        <v>15</v>
      </c>
      <c r="AJ32" s="25">
        <f t="shared" si="4"/>
        <v>113.01306649999999</v>
      </c>
      <c r="AK32" s="25">
        <f t="shared" si="14"/>
        <v>113.15649999999999</v>
      </c>
      <c r="AL32" s="25">
        <f t="shared" si="8"/>
        <v>113.2433</v>
      </c>
      <c r="AM32" s="25">
        <f t="shared" si="9"/>
        <v>113.35469999999999</v>
      </c>
      <c r="AN32" s="25">
        <f t="shared" si="10"/>
        <v>113.6602</v>
      </c>
    </row>
    <row r="33" spans="1:40" s="25" customFormat="1" ht="14.5" customHeight="1" x14ac:dyDescent="0.35">
      <c r="A33" s="25" t="s">
        <v>85</v>
      </c>
      <c r="B33" s="25">
        <v>15</v>
      </c>
      <c r="C33" s="25">
        <v>10</v>
      </c>
      <c r="D33" s="25">
        <v>15.833333333333334</v>
      </c>
      <c r="G33" s="20"/>
      <c r="H33" s="20"/>
      <c r="I33" s="20"/>
      <c r="J33" s="20"/>
      <c r="K33" s="20"/>
      <c r="L33" s="20"/>
      <c r="M33" s="20"/>
      <c r="N33" s="20"/>
      <c r="O33" s="20"/>
      <c r="P33" s="25">
        <f t="shared" si="2"/>
        <v>15.833333333333334</v>
      </c>
      <c r="Q33" s="12">
        <f>Q31+((Q34-Q31)*(($D33-$D31)/($D34-$D31)))</f>
        <v>112.87973316666667</v>
      </c>
      <c r="R33" s="25">
        <v>0.4</v>
      </c>
      <c r="S33" s="25">
        <v>0</v>
      </c>
      <c r="T33" s="25">
        <f t="shared" si="15"/>
        <v>113.27973316666667</v>
      </c>
      <c r="U33" s="12">
        <f t="shared" si="11"/>
        <v>0.1845112222222173</v>
      </c>
      <c r="V33" s="25">
        <v>0.6</v>
      </c>
      <c r="W33" s="25">
        <v>-0.16</v>
      </c>
      <c r="X33" s="25">
        <f t="shared" si="16"/>
        <v>113.47973316666666</v>
      </c>
      <c r="Y33" s="12">
        <f t="shared" si="5"/>
        <v>0.24237788888889117</v>
      </c>
      <c r="Z33" s="12">
        <f>Z32+((Z36-Z32)*(($D33-$D32)/($D36-$D32)))</f>
        <v>0.7958333333333335</v>
      </c>
      <c r="AB33" s="25">
        <f t="shared" si="6"/>
        <v>113.6755665</v>
      </c>
      <c r="AC33" s="12">
        <f t="shared" si="7"/>
        <v>0.31664455555555049</v>
      </c>
      <c r="AD33" s="25">
        <v>1.1000000000000001</v>
      </c>
      <c r="AE33" s="25">
        <v>-0.28000000000000003</v>
      </c>
      <c r="AF33" s="25">
        <f t="shared" si="12"/>
        <v>113.97973316666666</v>
      </c>
      <c r="AG33" s="12">
        <f t="shared" si="13"/>
        <v>0.52031122222222315</v>
      </c>
      <c r="AI33" s="25">
        <f t="shared" si="3"/>
        <v>15.833333333333334</v>
      </c>
      <c r="AJ33" s="25">
        <f t="shared" si="4"/>
        <v>112.87973316666667</v>
      </c>
      <c r="AK33" s="25">
        <f t="shared" si="14"/>
        <v>113.15649999999999</v>
      </c>
      <c r="AL33" s="25">
        <f t="shared" si="8"/>
        <v>113.2433</v>
      </c>
      <c r="AM33" s="25">
        <f t="shared" si="9"/>
        <v>113.35469999999999</v>
      </c>
      <c r="AN33" s="25">
        <f t="shared" si="10"/>
        <v>113.6602</v>
      </c>
    </row>
    <row r="34" spans="1:40" ht="14.5" customHeight="1" x14ac:dyDescent="0.35">
      <c r="A34" s="25" t="s">
        <v>67</v>
      </c>
      <c r="B34" s="21">
        <v>16</v>
      </c>
      <c r="C34" s="21">
        <v>4</v>
      </c>
      <c r="D34" s="21">
        <f t="shared" si="0"/>
        <v>16.333333333333332</v>
      </c>
      <c r="E34" s="21">
        <v>6.63</v>
      </c>
      <c r="F34" s="20"/>
      <c r="G34" s="20"/>
      <c r="H34" s="20"/>
      <c r="I34" s="20">
        <v>0.2</v>
      </c>
      <c r="J34" s="20">
        <v>0.2</v>
      </c>
      <c r="K34" s="20">
        <v>0.3</v>
      </c>
      <c r="L34" s="20">
        <v>0.3</v>
      </c>
      <c r="M34" s="20"/>
      <c r="N34" s="20"/>
      <c r="O34" s="20">
        <f t="shared" si="1"/>
        <v>1</v>
      </c>
      <c r="P34" s="25">
        <f t="shared" si="2"/>
        <v>16.333333333333332</v>
      </c>
      <c r="Q34" s="25">
        <f>$B$52-E34</f>
        <v>112.79973316666667</v>
      </c>
      <c r="R34" s="12">
        <f>R33+((R35-R33)*(($D34-$D33)/($D35-$D33)))</f>
        <v>0.48999999999999966</v>
      </c>
      <c r="T34" s="25">
        <f t="shared" si="15"/>
        <v>113.28973316666666</v>
      </c>
      <c r="U34" s="12">
        <f t="shared" si="11"/>
        <v>0.14865284722221864</v>
      </c>
      <c r="V34" s="12">
        <f>V33+((V35-V33)*(($D34-$D33)/($D35-$D33)))</f>
        <v>0.74399999999999933</v>
      </c>
      <c r="X34" s="25">
        <f t="shared" si="16"/>
        <v>113.54373316666667</v>
      </c>
      <c r="Y34" s="12">
        <f t="shared" si="5"/>
        <v>0.18481951388888987</v>
      </c>
      <c r="Z34" s="12">
        <f>Z32+((Z36-Z32)*(($D34-$D32)/($D36-$D32)))</f>
        <v>0.91333333333333311</v>
      </c>
      <c r="AB34" s="25">
        <f t="shared" si="6"/>
        <v>113.7130665</v>
      </c>
      <c r="AC34" s="12">
        <f t="shared" si="7"/>
        <v>0.23123618055555201</v>
      </c>
      <c r="AD34" s="12">
        <f>AD33+((AD35-AD33)*(($D34-$D33)/($D35-$D33)))</f>
        <v>1.1599999999999997</v>
      </c>
      <c r="AF34" s="25">
        <f t="shared" si="12"/>
        <v>113.95973316666667</v>
      </c>
      <c r="AG34" s="12">
        <f t="shared" si="13"/>
        <v>0.35852784722222258</v>
      </c>
      <c r="AI34" s="25">
        <f t="shared" si="3"/>
        <v>16.333333333333332</v>
      </c>
      <c r="AJ34" s="25">
        <f t="shared" si="4"/>
        <v>112.79973316666667</v>
      </c>
      <c r="AK34" s="25">
        <f t="shared" si="14"/>
        <v>113.15649999999999</v>
      </c>
      <c r="AL34" s="25">
        <f t="shared" si="8"/>
        <v>113.2433</v>
      </c>
      <c r="AM34" s="25">
        <f t="shared" si="9"/>
        <v>113.35469999999999</v>
      </c>
      <c r="AN34" s="25">
        <f t="shared" si="10"/>
        <v>113.6602</v>
      </c>
    </row>
    <row r="35" spans="1:40" s="25" customFormat="1" ht="14.5" customHeight="1" x14ac:dyDescent="0.35">
      <c r="A35" s="25" t="s">
        <v>85</v>
      </c>
      <c r="B35" s="25">
        <v>16</v>
      </c>
      <c r="C35" s="25">
        <v>8</v>
      </c>
      <c r="D35" s="25">
        <v>16.666666666666668</v>
      </c>
      <c r="G35" s="20"/>
      <c r="H35" s="20"/>
      <c r="I35" s="20"/>
      <c r="J35" s="20"/>
      <c r="K35" s="20"/>
      <c r="L35" s="20"/>
      <c r="M35" s="20"/>
      <c r="N35" s="20"/>
      <c r="O35" s="20"/>
      <c r="P35" s="25">
        <f t="shared" si="2"/>
        <v>16.666666666666668</v>
      </c>
      <c r="Q35" s="12">
        <f>Q34+((Q38-Q34)*(($D35-$D34)/($D38-$D34)))</f>
        <v>112.87473316666667</v>
      </c>
      <c r="R35" s="25">
        <v>0.55000000000000004</v>
      </c>
      <c r="S35" s="25">
        <v>0</v>
      </c>
      <c r="T35" s="25">
        <f t="shared" si="15"/>
        <v>113.42473316666667</v>
      </c>
      <c r="U35" s="12">
        <f t="shared" si="11"/>
        <v>9.3922277777774052E-2</v>
      </c>
      <c r="V35" s="25">
        <v>0.84</v>
      </c>
      <c r="W35" s="25">
        <v>-0.11</v>
      </c>
      <c r="X35" s="25">
        <f t="shared" si="16"/>
        <v>113.71473316666668</v>
      </c>
      <c r="Y35" s="12">
        <f t="shared" si="5"/>
        <v>0.12285561111111105</v>
      </c>
      <c r="Z35" s="12">
        <f>Z32+((Z36-Z32)*(($D35-$D32)/($D36-$D32)))</f>
        <v>0.99166666666666692</v>
      </c>
      <c r="AB35" s="25">
        <f t="shared" si="6"/>
        <v>113.86639983333333</v>
      </c>
      <c r="AC35" s="12">
        <f t="shared" si="7"/>
        <v>0.15998894444444081</v>
      </c>
      <c r="AD35" s="25">
        <v>1.2</v>
      </c>
      <c r="AE35" s="25">
        <v>-0.45</v>
      </c>
      <c r="AF35" s="25">
        <f t="shared" si="12"/>
        <v>114.07473316666668</v>
      </c>
      <c r="AG35" s="12">
        <f t="shared" si="13"/>
        <v>0.26182227777777739</v>
      </c>
      <c r="AI35" s="25">
        <f t="shared" si="3"/>
        <v>16.666666666666668</v>
      </c>
      <c r="AJ35" s="25">
        <f t="shared" si="4"/>
        <v>112.87473316666667</v>
      </c>
      <c r="AK35" s="25">
        <f t="shared" si="14"/>
        <v>113.15649999999999</v>
      </c>
      <c r="AL35" s="25">
        <f t="shared" si="8"/>
        <v>113.2433</v>
      </c>
      <c r="AM35" s="25">
        <f t="shared" si="9"/>
        <v>113.35469999999999</v>
      </c>
      <c r="AN35" s="25">
        <f t="shared" si="10"/>
        <v>113.6602</v>
      </c>
    </row>
    <row r="36" spans="1:40" s="25" customFormat="1" ht="14.5" customHeight="1" x14ac:dyDescent="0.35">
      <c r="A36" s="25" t="s">
        <v>83</v>
      </c>
      <c r="B36" s="25">
        <v>17</v>
      </c>
      <c r="C36" s="25">
        <v>0</v>
      </c>
      <c r="D36" s="25">
        <f>B36+(C36/12)</f>
        <v>17</v>
      </c>
      <c r="G36" s="20"/>
      <c r="H36" s="20"/>
      <c r="I36" s="20"/>
      <c r="J36" s="20"/>
      <c r="K36" s="20"/>
      <c r="L36" s="20"/>
      <c r="M36" s="20"/>
      <c r="N36" s="20"/>
      <c r="O36" s="20"/>
      <c r="P36" s="25">
        <f t="shared" si="2"/>
        <v>17</v>
      </c>
      <c r="Q36" s="12">
        <f>Q34+((Q38-Q34)*(($D36-$D34)/($D38-$D34)))</f>
        <v>112.94973316666666</v>
      </c>
      <c r="T36" s="25">
        <v>113.42473316666667</v>
      </c>
      <c r="U36" s="12">
        <f t="shared" si="11"/>
        <v>0.12061398611111068</v>
      </c>
      <c r="V36" s="12">
        <f>V35+((V39-V35)*(($D36-$D35)/($D39-$D35)))</f>
        <v>0.69391304347826122</v>
      </c>
      <c r="X36" s="25">
        <f t="shared" si="16"/>
        <v>113.64364621014492</v>
      </c>
      <c r="Y36" s="12">
        <f t="shared" si="5"/>
        <v>0.17124731944445024</v>
      </c>
      <c r="Z36" s="25">
        <v>1.07</v>
      </c>
      <c r="AA36" s="25">
        <v>-0.08</v>
      </c>
      <c r="AB36" s="25">
        <f t="shared" si="6"/>
        <v>114.01973316666665</v>
      </c>
      <c r="AC36" s="12">
        <f t="shared" si="7"/>
        <v>0.23623065277777708</v>
      </c>
      <c r="AD36" s="12">
        <f>AD35+((AD41-AD35)*(($D36-$D35)/($D41-$D35)))</f>
        <v>1.0153846153846158</v>
      </c>
      <c r="AF36" s="25">
        <f t="shared" si="12"/>
        <v>113.96511778205128</v>
      </c>
      <c r="AG36" s="12">
        <f t="shared" si="13"/>
        <v>0.4144389861111154</v>
      </c>
      <c r="AI36" s="25">
        <f t="shared" si="3"/>
        <v>17</v>
      </c>
      <c r="AJ36" s="25">
        <f t="shared" si="4"/>
        <v>112.94973316666666</v>
      </c>
      <c r="AK36" s="25">
        <f t="shared" si="14"/>
        <v>113.15649999999999</v>
      </c>
      <c r="AL36" s="25">
        <f t="shared" si="8"/>
        <v>113.2433</v>
      </c>
      <c r="AM36" s="25">
        <f t="shared" si="9"/>
        <v>113.35469999999999</v>
      </c>
      <c r="AN36" s="25">
        <f t="shared" si="10"/>
        <v>113.6602</v>
      </c>
    </row>
    <row r="37" spans="1:40" s="25" customFormat="1" ht="14.5" customHeight="1" x14ac:dyDescent="0.35">
      <c r="A37" s="25" t="s">
        <v>83</v>
      </c>
      <c r="B37" s="25">
        <v>17</v>
      </c>
      <c r="C37" s="25">
        <v>10</v>
      </c>
      <c r="D37" s="25">
        <f>B37+(C37/12)</f>
        <v>17.833333333333332</v>
      </c>
      <c r="G37" s="20"/>
      <c r="H37" s="20"/>
      <c r="I37" s="20"/>
      <c r="J37" s="20"/>
      <c r="K37" s="20"/>
      <c r="L37" s="20"/>
      <c r="M37" s="20"/>
      <c r="N37" s="20"/>
      <c r="O37" s="20"/>
      <c r="P37" s="25">
        <f t="shared" si="2"/>
        <v>17.833333333333332</v>
      </c>
      <c r="Q37" s="12">
        <f>Q34+((Q38-Q34)*(($D37-$D34)/($D38-$D34)))</f>
        <v>113.13723316666666</v>
      </c>
      <c r="T37" s="25">
        <v>113.42473316666667</v>
      </c>
      <c r="U37" s="12">
        <f t="shared" si="11"/>
        <v>1.284455555555533E-2</v>
      </c>
      <c r="V37" s="12">
        <f>V35+((V39-V35)*(($D37-$D35)/($D39-$D35)))</f>
        <v>0.3286956521739135</v>
      </c>
      <c r="X37" s="25">
        <f t="shared" si="16"/>
        <v>113.46592881884058</v>
      </c>
      <c r="Y37" s="12">
        <f t="shared" si="5"/>
        <v>7.0711222222229184E-2</v>
      </c>
      <c r="Z37" s="25">
        <v>0.35</v>
      </c>
      <c r="AB37" s="25">
        <f t="shared" si="6"/>
        <v>113.48723316666666</v>
      </c>
      <c r="AC37" s="12">
        <f t="shared" si="7"/>
        <v>0.14497788888888849</v>
      </c>
      <c r="AD37" s="12">
        <f>AD35+((AD41-AD35)*(($D37-$D35)/($D41-$D35)))</f>
        <v>0.55384615384615443</v>
      </c>
      <c r="AF37" s="25">
        <f t="shared" si="12"/>
        <v>113.69107932051281</v>
      </c>
      <c r="AG37" s="12">
        <f t="shared" si="13"/>
        <v>0.34864455555556112</v>
      </c>
      <c r="AI37" s="25">
        <f t="shared" si="3"/>
        <v>17.833333333333332</v>
      </c>
      <c r="AJ37" s="25">
        <f t="shared" si="4"/>
        <v>113.13723316666666</v>
      </c>
      <c r="AK37" s="25">
        <f t="shared" si="14"/>
        <v>113.15649999999999</v>
      </c>
      <c r="AL37" s="25">
        <f t="shared" si="8"/>
        <v>113.2433</v>
      </c>
      <c r="AM37" s="25">
        <f t="shared" si="9"/>
        <v>113.35469999999999</v>
      </c>
      <c r="AN37" s="25">
        <f t="shared" si="10"/>
        <v>113.6602</v>
      </c>
    </row>
    <row r="38" spans="1:40" ht="14.5" customHeight="1" x14ac:dyDescent="0.35">
      <c r="A38" s="25" t="s">
        <v>67</v>
      </c>
      <c r="B38" s="21">
        <v>18</v>
      </c>
      <c r="C38" s="21">
        <v>4</v>
      </c>
      <c r="D38" s="21">
        <f t="shared" si="0"/>
        <v>18.333333333333332</v>
      </c>
      <c r="E38" s="21">
        <v>6.18</v>
      </c>
      <c r="F38" s="20"/>
      <c r="G38" s="20"/>
      <c r="H38" s="20"/>
      <c r="I38" s="20">
        <v>0.4</v>
      </c>
      <c r="J38" s="20">
        <v>0.6</v>
      </c>
      <c r="K38" s="20"/>
      <c r="L38" s="20"/>
      <c r="M38" s="20"/>
      <c r="N38" s="20"/>
      <c r="O38" s="20">
        <f t="shared" si="1"/>
        <v>1</v>
      </c>
      <c r="P38" s="25">
        <f t="shared" si="2"/>
        <v>18.333333333333332</v>
      </c>
      <c r="Q38" s="25">
        <f>$B$52-E38</f>
        <v>113.24973316666666</v>
      </c>
      <c r="U38" s="12"/>
      <c r="V38" s="12">
        <f>V35+((V39-V35)*(($D38-$D35)/($D39-$D35)))</f>
        <v>0.10956521739130443</v>
      </c>
      <c r="X38" s="25">
        <f t="shared" si="16"/>
        <v>113.35929838405796</v>
      </c>
      <c r="Y38" s="12">
        <f t="shared" si="5"/>
        <v>-2.4124374999949794E-3</v>
      </c>
      <c r="Z38" s="12">
        <f>Z37+((Z40-Z37)*(($D38-$D37)/($D40-$D37)))</f>
        <v>0.14000000000000057</v>
      </c>
      <c r="AB38" s="25">
        <f t="shared" si="6"/>
        <v>113.38973316666666</v>
      </c>
      <c r="AC38" s="12">
        <f t="shared" si="7"/>
        <v>3.9362562500000919E-2</v>
      </c>
      <c r="AD38" s="12">
        <f>AD35+((AD41-AD35)*(($D38-$D35)/($D41-$D35)))</f>
        <v>0.27692307692307727</v>
      </c>
      <c r="AF38" s="25">
        <f t="shared" si="12"/>
        <v>113.52665624358974</v>
      </c>
      <c r="AG38" s="12">
        <f t="shared" si="13"/>
        <v>0.15392506250000437</v>
      </c>
      <c r="AI38" s="25">
        <f t="shared" si="3"/>
        <v>18.333333333333332</v>
      </c>
      <c r="AJ38" s="25">
        <f t="shared" si="4"/>
        <v>113.24973316666666</v>
      </c>
      <c r="AL38" s="25">
        <f t="shared" si="8"/>
        <v>113.2433</v>
      </c>
      <c r="AM38" s="25">
        <f t="shared" si="9"/>
        <v>113.35469999999999</v>
      </c>
      <c r="AN38" s="25">
        <f t="shared" si="10"/>
        <v>113.6602</v>
      </c>
    </row>
    <row r="39" spans="1:40" s="25" customFormat="1" ht="14.5" customHeight="1" x14ac:dyDescent="0.35">
      <c r="A39" s="25" t="s">
        <v>72</v>
      </c>
      <c r="B39" s="25">
        <v>18</v>
      </c>
      <c r="C39" s="25">
        <v>7</v>
      </c>
      <c r="D39" s="25">
        <f t="shared" si="0"/>
        <v>18.583333333333332</v>
      </c>
      <c r="G39" s="20"/>
      <c r="H39" s="20"/>
      <c r="I39" s="20"/>
      <c r="J39" s="20"/>
      <c r="K39" s="20"/>
      <c r="L39" s="20"/>
      <c r="M39" s="20"/>
      <c r="N39" s="20"/>
      <c r="O39" s="20"/>
      <c r="P39" s="25">
        <f t="shared" si="2"/>
        <v>18.583333333333332</v>
      </c>
      <c r="Q39" s="12">
        <f>Q38+((Q42-Q38)*(($D39-$D38)/($D42-$D38)))</f>
        <v>113.41127162820511</v>
      </c>
      <c r="U39" s="12"/>
      <c r="V39" s="25">
        <v>0</v>
      </c>
      <c r="X39" s="25">
        <f t="shared" si="16"/>
        <v>113.41127162820511</v>
      </c>
      <c r="Y39" s="12"/>
      <c r="Z39" s="12">
        <f>Z37+((Z40-Z37)*(($D39-$D37)/($D40-$D37)))</f>
        <v>3.5000000000000864E-2</v>
      </c>
      <c r="AB39" s="25">
        <f t="shared" si="6"/>
        <v>113.44627162820511</v>
      </c>
      <c r="AC39" s="12"/>
      <c r="AD39" s="12">
        <f>AD35+((AD41-AD35)*(($D39-$D35)/($D41-$D35)))</f>
        <v>0.13846153846153864</v>
      </c>
      <c r="AF39" s="25">
        <f t="shared" si="12"/>
        <v>113.54973316666666</v>
      </c>
      <c r="AG39" s="12">
        <f t="shared" si="13"/>
        <v>4.1488061965815184E-2</v>
      </c>
      <c r="AI39" s="25">
        <f t="shared" si="3"/>
        <v>18.583333333333332</v>
      </c>
      <c r="AJ39" s="25">
        <f t="shared" si="4"/>
        <v>113.41127162820511</v>
      </c>
      <c r="AM39" s="25">
        <f t="shared" si="9"/>
        <v>113.35469999999999</v>
      </c>
      <c r="AN39" s="25">
        <f t="shared" si="10"/>
        <v>113.6602</v>
      </c>
    </row>
    <row r="40" spans="1:40" s="25" customFormat="1" ht="14.5" customHeight="1" x14ac:dyDescent="0.35">
      <c r="A40" s="25" t="s">
        <v>83</v>
      </c>
      <c r="B40" s="25">
        <v>18</v>
      </c>
      <c r="C40" s="25">
        <v>8</v>
      </c>
      <c r="D40" s="25">
        <f>B40+(C40/12)</f>
        <v>18.666666666666668</v>
      </c>
      <c r="G40" s="20"/>
      <c r="H40" s="20"/>
      <c r="I40" s="20"/>
      <c r="J40" s="20"/>
      <c r="K40" s="20"/>
      <c r="L40" s="20"/>
      <c r="M40" s="20"/>
      <c r="N40" s="20"/>
      <c r="O40" s="20"/>
      <c r="P40" s="25">
        <f t="shared" si="2"/>
        <v>18.666666666666668</v>
      </c>
      <c r="Q40" s="12">
        <f>Q38+((Q42-Q38)*(($D40-$D38)/($D42-$D38)))</f>
        <v>113.46511778205128</v>
      </c>
      <c r="U40" s="12"/>
      <c r="Z40" s="25">
        <v>0</v>
      </c>
      <c r="AA40" s="25">
        <v>0</v>
      </c>
      <c r="AB40" s="25">
        <f t="shared" si="6"/>
        <v>113.46511778205128</v>
      </c>
      <c r="AC40" s="12"/>
      <c r="AD40" s="12">
        <f>AD35+((AD41-AD35)*(($D40-$D35)/($D41-$D35)))</f>
        <v>9.2307692307691092E-2</v>
      </c>
      <c r="AF40" s="25">
        <f t="shared" si="12"/>
        <v>113.55742547435896</v>
      </c>
      <c r="AG40" s="12">
        <f t="shared" si="13"/>
        <v>2.4385277243590409E-2</v>
      </c>
      <c r="AI40" s="25">
        <f t="shared" si="3"/>
        <v>18.666666666666668</v>
      </c>
      <c r="AJ40" s="25">
        <f t="shared" si="4"/>
        <v>113.46511778205128</v>
      </c>
      <c r="AN40" s="25">
        <f t="shared" si="10"/>
        <v>113.6602</v>
      </c>
    </row>
    <row r="41" spans="1:40" s="25" customFormat="1" ht="14.5" customHeight="1" x14ac:dyDescent="0.35">
      <c r="A41" s="25" t="s">
        <v>124</v>
      </c>
      <c r="B41" s="25">
        <v>18</v>
      </c>
      <c r="C41" s="25">
        <v>10</v>
      </c>
      <c r="D41" s="25">
        <f>B41+(C41/12)</f>
        <v>18.833333333333332</v>
      </c>
      <c r="G41" s="20"/>
      <c r="H41" s="20"/>
      <c r="I41" s="20"/>
      <c r="J41" s="20"/>
      <c r="K41" s="20"/>
      <c r="L41" s="20"/>
      <c r="M41" s="20"/>
      <c r="N41" s="20"/>
      <c r="O41" s="20"/>
      <c r="P41" s="25">
        <f t="shared" si="2"/>
        <v>18.833333333333332</v>
      </c>
      <c r="Q41" s="12">
        <f>Q38+((Q42-Q38)*(($D41-$D38)/($D42-$D38)))</f>
        <v>113.57281008974358</v>
      </c>
      <c r="AD41" s="25">
        <v>0</v>
      </c>
      <c r="AF41" s="25">
        <f t="shared" si="12"/>
        <v>113.57281008974358</v>
      </c>
      <c r="AG41" s="12">
        <f t="shared" si="13"/>
        <v>3.2771216346157317E-2</v>
      </c>
      <c r="AI41" s="25">
        <f t="shared" si="3"/>
        <v>18.833333333333332</v>
      </c>
      <c r="AJ41" s="25">
        <f t="shared" si="4"/>
        <v>113.57281008974358</v>
      </c>
      <c r="AN41" s="25">
        <f t="shared" si="10"/>
        <v>113.6602</v>
      </c>
    </row>
    <row r="42" spans="1:40" ht="14.5" customHeight="1" x14ac:dyDescent="0.35">
      <c r="A42" s="25" t="s">
        <v>67</v>
      </c>
      <c r="B42" s="21">
        <v>19</v>
      </c>
      <c r="C42" s="21">
        <v>5</v>
      </c>
      <c r="D42" s="21">
        <f t="shared" si="0"/>
        <v>19.416666666666668</v>
      </c>
      <c r="E42" s="21">
        <v>5.48</v>
      </c>
      <c r="F42" s="20"/>
      <c r="G42" s="20">
        <v>0.2</v>
      </c>
      <c r="H42" s="20">
        <v>0.2</v>
      </c>
      <c r="I42" s="20">
        <v>0.3</v>
      </c>
      <c r="J42" s="20">
        <v>0.2</v>
      </c>
      <c r="K42" s="20">
        <v>0.1</v>
      </c>
      <c r="L42" s="20"/>
      <c r="M42" s="20"/>
      <c r="N42" s="20"/>
      <c r="O42" s="20">
        <f t="shared" si="1"/>
        <v>0.99999999999999989</v>
      </c>
      <c r="P42" s="25">
        <f t="shared" si="2"/>
        <v>19.416666666666668</v>
      </c>
      <c r="Q42" s="25">
        <f t="shared" ref="Q42:Q48" si="19">$B$52-E42</f>
        <v>113.94973316666666</v>
      </c>
      <c r="AI42" s="25">
        <f t="shared" si="3"/>
        <v>19.416666666666668</v>
      </c>
      <c r="AJ42" s="25">
        <f t="shared" si="4"/>
        <v>113.94973316666666</v>
      </c>
    </row>
    <row r="43" spans="1:40" ht="14.5" customHeight="1" x14ac:dyDescent="0.35">
      <c r="A43" s="25" t="s">
        <v>67</v>
      </c>
      <c r="B43" s="21">
        <v>20</v>
      </c>
      <c r="C43" s="21">
        <v>11</v>
      </c>
      <c r="D43" s="21">
        <f t="shared" si="0"/>
        <v>20.916666666666668</v>
      </c>
      <c r="E43" s="21">
        <v>5.15</v>
      </c>
      <c r="F43" s="20"/>
      <c r="G43" s="20">
        <v>0.2</v>
      </c>
      <c r="H43" s="20">
        <v>0.2</v>
      </c>
      <c r="I43" s="20">
        <v>0.3</v>
      </c>
      <c r="J43" s="20">
        <v>0.2</v>
      </c>
      <c r="K43" s="20">
        <v>0.1</v>
      </c>
      <c r="L43" s="20"/>
      <c r="M43" s="20"/>
      <c r="N43" s="20"/>
      <c r="O43" s="20">
        <f t="shared" si="1"/>
        <v>0.99999999999999989</v>
      </c>
      <c r="P43" s="25">
        <f t="shared" si="2"/>
        <v>20.916666666666668</v>
      </c>
      <c r="Q43" s="25">
        <f t="shared" si="19"/>
        <v>114.27973316666666</v>
      </c>
      <c r="AI43" s="25">
        <f t="shared" si="3"/>
        <v>20.916666666666668</v>
      </c>
      <c r="AJ43" s="25">
        <f t="shared" si="4"/>
        <v>114.27973316666666</v>
      </c>
    </row>
    <row r="44" spans="1:40" ht="14.5" customHeight="1" x14ac:dyDescent="0.35">
      <c r="A44" s="25" t="s">
        <v>67</v>
      </c>
      <c r="B44" s="21">
        <v>23</v>
      </c>
      <c r="C44" s="21">
        <v>9</v>
      </c>
      <c r="D44" s="21">
        <f t="shared" si="0"/>
        <v>23.75</v>
      </c>
      <c r="E44" s="21">
        <v>5.44</v>
      </c>
      <c r="F44" s="20"/>
      <c r="G44" s="20"/>
      <c r="H44" s="20"/>
      <c r="I44" s="20"/>
      <c r="J44" s="20"/>
      <c r="K44" s="20">
        <v>0.2</v>
      </c>
      <c r="L44" s="20">
        <v>0.8</v>
      </c>
      <c r="M44" s="20"/>
      <c r="N44" s="20"/>
      <c r="O44" s="20">
        <f t="shared" si="1"/>
        <v>1</v>
      </c>
      <c r="P44" s="25">
        <f t="shared" si="2"/>
        <v>23.75</v>
      </c>
      <c r="Q44" s="25">
        <f t="shared" si="19"/>
        <v>113.98973316666667</v>
      </c>
      <c r="AI44" s="25">
        <f t="shared" si="3"/>
        <v>23.75</v>
      </c>
      <c r="AJ44" s="25">
        <f t="shared" si="4"/>
        <v>113.98973316666667</v>
      </c>
    </row>
    <row r="45" spans="1:40" ht="14.5" customHeight="1" x14ac:dyDescent="0.35">
      <c r="A45" s="25" t="s">
        <v>67</v>
      </c>
      <c r="B45" s="21">
        <v>27</v>
      </c>
      <c r="C45" s="21">
        <v>0</v>
      </c>
      <c r="D45" s="21">
        <f t="shared" si="0"/>
        <v>27</v>
      </c>
      <c r="E45" s="21">
        <v>5.45</v>
      </c>
      <c r="F45" s="20"/>
      <c r="G45" s="20"/>
      <c r="H45" s="20"/>
      <c r="I45" s="20"/>
      <c r="J45" s="20"/>
      <c r="K45" s="20">
        <v>0.2</v>
      </c>
      <c r="L45" s="20">
        <v>0.8</v>
      </c>
      <c r="M45" s="20"/>
      <c r="N45" s="20"/>
      <c r="O45" s="20">
        <f t="shared" si="1"/>
        <v>1</v>
      </c>
      <c r="P45" s="25">
        <f t="shared" si="2"/>
        <v>27</v>
      </c>
      <c r="Q45" s="25">
        <f t="shared" si="19"/>
        <v>113.97973316666666</v>
      </c>
      <c r="AI45" s="25">
        <f t="shared" si="3"/>
        <v>27</v>
      </c>
      <c r="AJ45" s="25">
        <f t="shared" si="4"/>
        <v>113.97973316666666</v>
      </c>
    </row>
    <row r="46" spans="1:40" ht="14.5" customHeight="1" x14ac:dyDescent="0.35">
      <c r="A46" s="25" t="s">
        <v>67</v>
      </c>
      <c r="B46" s="21">
        <v>30</v>
      </c>
      <c r="C46" s="21">
        <v>1</v>
      </c>
      <c r="D46" s="21">
        <f t="shared" si="0"/>
        <v>30.083333333333332</v>
      </c>
      <c r="E46" s="21">
        <v>5.34</v>
      </c>
      <c r="F46" s="20"/>
      <c r="G46" s="20"/>
      <c r="H46" s="20"/>
      <c r="I46" s="20"/>
      <c r="J46" s="20"/>
      <c r="K46" s="20">
        <v>0.2</v>
      </c>
      <c r="L46" s="20">
        <v>0.8</v>
      </c>
      <c r="M46" s="20"/>
      <c r="N46" s="20"/>
      <c r="O46" s="20">
        <f t="shared" si="1"/>
        <v>1</v>
      </c>
      <c r="P46" s="25">
        <f t="shared" si="2"/>
        <v>30.083333333333332</v>
      </c>
      <c r="Q46" s="25">
        <f t="shared" si="19"/>
        <v>114.08973316666666</v>
      </c>
      <c r="AI46" s="25">
        <f t="shared" si="3"/>
        <v>30.083333333333332</v>
      </c>
      <c r="AJ46" s="25">
        <f t="shared" si="4"/>
        <v>114.08973316666666</v>
      </c>
    </row>
    <row r="47" spans="1:40" ht="14.5" customHeight="1" x14ac:dyDescent="0.35">
      <c r="A47" s="25" t="s">
        <v>67</v>
      </c>
      <c r="B47" s="21">
        <v>30</v>
      </c>
      <c r="C47" s="21">
        <v>5</v>
      </c>
      <c r="D47" s="21">
        <f t="shared" si="0"/>
        <v>30.416666666666668</v>
      </c>
      <c r="E47" s="21">
        <v>4.84</v>
      </c>
      <c r="F47" s="20"/>
      <c r="G47" s="20"/>
      <c r="H47" s="20"/>
      <c r="I47" s="20"/>
      <c r="J47" s="20"/>
      <c r="K47" s="20">
        <v>0.2</v>
      </c>
      <c r="L47" s="20">
        <v>0.8</v>
      </c>
      <c r="M47" s="20"/>
      <c r="N47" s="20"/>
      <c r="O47" s="20">
        <f t="shared" si="1"/>
        <v>1</v>
      </c>
      <c r="P47" s="25">
        <f t="shared" si="2"/>
        <v>30.416666666666668</v>
      </c>
      <c r="Q47" s="25">
        <f t="shared" si="19"/>
        <v>114.58973316666666</v>
      </c>
      <c r="AI47" s="25">
        <f t="shared" si="3"/>
        <v>30.416666666666668</v>
      </c>
      <c r="AJ47" s="25">
        <f t="shared" si="4"/>
        <v>114.58973316666666</v>
      </c>
    </row>
    <row r="48" spans="1:40" ht="14.5" customHeight="1" x14ac:dyDescent="0.35">
      <c r="A48" s="21" t="s">
        <v>153</v>
      </c>
      <c r="B48" s="21">
        <v>34</v>
      </c>
      <c r="C48" s="21">
        <v>6</v>
      </c>
      <c r="D48" s="21">
        <f t="shared" si="0"/>
        <v>34.5</v>
      </c>
      <c r="E48" s="21">
        <v>4.5999999999999996</v>
      </c>
      <c r="F48" s="20"/>
      <c r="G48" s="20"/>
      <c r="H48" s="20"/>
      <c r="I48" s="20"/>
      <c r="J48" s="20"/>
      <c r="K48" s="20"/>
      <c r="L48" s="20"/>
      <c r="M48" s="20">
        <v>1</v>
      </c>
      <c r="N48" s="20"/>
      <c r="O48" s="20">
        <f t="shared" si="1"/>
        <v>1</v>
      </c>
      <c r="P48" s="25">
        <f t="shared" si="2"/>
        <v>34.5</v>
      </c>
      <c r="Q48" s="25">
        <f t="shared" si="19"/>
        <v>114.82973316666667</v>
      </c>
      <c r="AI48" s="25">
        <f t="shared" si="3"/>
        <v>34.5</v>
      </c>
      <c r="AJ48" s="25">
        <f t="shared" si="4"/>
        <v>114.82973316666667</v>
      </c>
    </row>
    <row r="49" spans="1:25" ht="14.5" customHeight="1" x14ac:dyDescent="0.35">
      <c r="B49" s="21" t="s">
        <v>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S49" s="15"/>
      <c r="T49" s="12"/>
      <c r="U49" s="12"/>
    </row>
    <row r="50" spans="1:25" ht="14.5" customHeight="1" x14ac:dyDescent="0.35">
      <c r="A50" s="12" t="s">
        <v>55</v>
      </c>
      <c r="B50" s="29">
        <f>B52-B51</f>
        <v>115.70973316666667</v>
      </c>
      <c r="C50" s="12" t="s">
        <v>58</v>
      </c>
      <c r="D50" s="12" t="s">
        <v>58</v>
      </c>
      <c r="G50" s="21" t="s">
        <v>176</v>
      </c>
      <c r="H50" s="21" t="s">
        <v>167</v>
      </c>
      <c r="I50" s="21" t="s">
        <v>168</v>
      </c>
      <c r="J50" s="21" t="s">
        <v>169</v>
      </c>
      <c r="K50" s="21" t="s">
        <v>170</v>
      </c>
      <c r="L50" s="15" t="s">
        <v>171</v>
      </c>
      <c r="M50" s="12" t="s">
        <v>179</v>
      </c>
      <c r="N50" s="12" t="s">
        <v>180</v>
      </c>
      <c r="O50" s="21" t="s">
        <v>181</v>
      </c>
      <c r="U50" s="12"/>
      <c r="V50" s="17"/>
      <c r="W50" s="12"/>
      <c r="X50" s="12"/>
    </row>
    <row r="51" spans="1:25" ht="14.5" customHeight="1" x14ac:dyDescent="0.35">
      <c r="A51" s="12" t="s">
        <v>57</v>
      </c>
      <c r="B51" s="29">
        <v>3.72</v>
      </c>
      <c r="C51" s="12" t="s">
        <v>58</v>
      </c>
      <c r="D51" s="12" t="s">
        <v>58</v>
      </c>
      <c r="F51" s="21" t="s">
        <v>166</v>
      </c>
      <c r="G51" s="18">
        <v>113.15649999999999</v>
      </c>
      <c r="H51" s="18">
        <v>15.117777044595615</v>
      </c>
      <c r="I51" s="18">
        <v>15.117777044595615</v>
      </c>
      <c r="J51" s="18">
        <v>21.077500000000001</v>
      </c>
      <c r="K51" s="18">
        <v>5.8214999999999995</v>
      </c>
      <c r="L51" s="18">
        <v>1.394219529618933</v>
      </c>
      <c r="M51" s="18">
        <v>0.27619499466255482</v>
      </c>
      <c r="N51" s="36">
        <v>0.91392103040376504</v>
      </c>
      <c r="O51" s="21">
        <v>2.56</v>
      </c>
      <c r="U51" s="12"/>
      <c r="V51" s="25"/>
      <c r="W51" s="25"/>
      <c r="X51" s="25"/>
    </row>
    <row r="52" spans="1:25" ht="14.5" customHeight="1" x14ac:dyDescent="0.35">
      <c r="A52" s="12" t="s">
        <v>59</v>
      </c>
      <c r="B52" s="29">
        <f>B53+D58</f>
        <v>119.42973316666667</v>
      </c>
      <c r="C52" s="12" t="s">
        <v>58</v>
      </c>
      <c r="D52" s="12" t="s">
        <v>58</v>
      </c>
      <c r="F52" s="21" t="s">
        <v>172</v>
      </c>
      <c r="G52" s="18">
        <v>113.2433</v>
      </c>
      <c r="H52" s="18">
        <v>15.523237362055994</v>
      </c>
      <c r="I52" s="18">
        <v>15.523237362055994</v>
      </c>
      <c r="J52" s="18">
        <v>22.487499999999997</v>
      </c>
      <c r="K52" s="18">
        <v>8.8500125000000001</v>
      </c>
      <c r="L52" s="18">
        <v>1.4486346807378594</v>
      </c>
      <c r="M52" s="18">
        <v>0.39355252918287942</v>
      </c>
      <c r="N52" s="36">
        <v>0.93843248536358648</v>
      </c>
      <c r="O52" s="21">
        <v>2.82</v>
      </c>
      <c r="U52" s="12"/>
      <c r="V52" s="25"/>
      <c r="W52" s="25"/>
      <c r="X52" s="25"/>
    </row>
    <row r="53" spans="1:25" ht="14.5" customHeight="1" x14ac:dyDescent="0.35">
      <c r="A53" s="12" t="s">
        <v>146</v>
      </c>
      <c r="B53" s="29">
        <v>113.2764415</v>
      </c>
      <c r="C53" s="12" t="s">
        <v>147</v>
      </c>
      <c r="D53" s="12" t="s">
        <v>147</v>
      </c>
      <c r="F53" s="21" t="s">
        <v>173</v>
      </c>
      <c r="G53" s="18">
        <v>113.35469999999999</v>
      </c>
      <c r="H53" s="18">
        <v>15.739538655517771</v>
      </c>
      <c r="I53" s="18">
        <v>15.739538655517771</v>
      </c>
      <c r="J53" s="18">
        <v>24.232083333333328</v>
      </c>
      <c r="K53" s="18">
        <v>14.276120833333332</v>
      </c>
      <c r="L53" s="18">
        <v>1.5395675733378849</v>
      </c>
      <c r="M53" s="18">
        <v>0.58914128995649717</v>
      </c>
      <c r="N53" s="36">
        <v>0.9515086340867166</v>
      </c>
      <c r="O53" s="32">
        <v>3.06</v>
      </c>
      <c r="U53" s="12"/>
      <c r="V53" s="25"/>
      <c r="W53" s="25"/>
      <c r="X53" s="25"/>
    </row>
    <row r="54" spans="1:25" ht="14.5" customHeight="1" x14ac:dyDescent="0.35">
      <c r="F54" s="21" t="s">
        <v>174</v>
      </c>
      <c r="G54" s="18">
        <v>113.6602</v>
      </c>
      <c r="H54" s="18">
        <v>16.281610650982632</v>
      </c>
      <c r="I54" s="18">
        <v>16.281610650982632</v>
      </c>
      <c r="J54" s="18">
        <v>28.949583333333329</v>
      </c>
      <c r="K54" s="18">
        <v>33.023770833333323</v>
      </c>
      <c r="L54" s="18">
        <v>1.7780540238865223</v>
      </c>
      <c r="M54" s="18">
        <v>1.1407338908159297</v>
      </c>
      <c r="N54" s="36">
        <v>0.98427872953043616</v>
      </c>
      <c r="O54" s="32">
        <v>3.3</v>
      </c>
      <c r="U54" s="12"/>
      <c r="V54" s="25"/>
      <c r="W54" s="25"/>
      <c r="X54" s="25"/>
      <c r="Y54" s="12"/>
    </row>
    <row r="55" spans="1:25" s="26" customFormat="1" ht="14.5" customHeight="1" x14ac:dyDescent="0.35">
      <c r="A55" s="21" t="s">
        <v>96</v>
      </c>
      <c r="B55" s="25">
        <v>9.1666666666666661</v>
      </c>
      <c r="C55" s="21">
        <v>6.583333333333333</v>
      </c>
      <c r="D55" s="21"/>
      <c r="U55" s="12"/>
      <c r="Y55" s="12"/>
    </row>
    <row r="56" spans="1:25" s="26" customFormat="1" ht="14.5" customHeight="1" x14ac:dyDescent="0.35">
      <c r="A56" s="21" t="s">
        <v>6</v>
      </c>
      <c r="B56" s="21">
        <v>2.2999999999999998</v>
      </c>
      <c r="C56" s="21">
        <v>1.6</v>
      </c>
      <c r="D56" s="21"/>
      <c r="U56" s="12"/>
      <c r="Y56" s="12"/>
    </row>
    <row r="57" spans="1:25" s="26" customFormat="1" ht="14.5" customHeight="1" x14ac:dyDescent="0.35">
      <c r="A57" s="21" t="s">
        <v>156</v>
      </c>
      <c r="B57" s="21">
        <f>E19+(((B55-D19)/(D24-D19))*(E24-E19))</f>
        <v>8.3470833333333339</v>
      </c>
      <c r="C57" s="25">
        <f>E7+(((C55-D7)/(D19-D7))*(E19-E7))</f>
        <v>7.8595000000000006</v>
      </c>
      <c r="D57" s="25"/>
      <c r="U57" s="12"/>
      <c r="Y57" s="12"/>
    </row>
    <row r="58" spans="1:25" s="26" customFormat="1" ht="14.5" customHeight="1" x14ac:dyDescent="0.35">
      <c r="A58" s="21" t="s">
        <v>155</v>
      </c>
      <c r="B58" s="21">
        <f>B57-B56</f>
        <v>6.047083333333334</v>
      </c>
      <c r="C58" s="25">
        <f>C57-C56</f>
        <v>6.259500000000001</v>
      </c>
      <c r="D58" s="21">
        <f>(B58+C58)/2</f>
        <v>6.1532916666666679</v>
      </c>
      <c r="U58" s="12"/>
      <c r="Y58" s="12"/>
    </row>
    <row r="59" spans="1:25" s="26" customFormat="1" ht="14.5" customHeight="1" x14ac:dyDescent="0.35">
      <c r="A59" s="21" t="s">
        <v>165</v>
      </c>
      <c r="B59" s="21">
        <f>D41-D5</f>
        <v>16.166666666666664</v>
      </c>
      <c r="C59" s="21" t="s">
        <v>58</v>
      </c>
      <c r="D59" s="21"/>
      <c r="S59" s="15"/>
      <c r="T59" s="12"/>
      <c r="U59" s="12"/>
      <c r="Y59" s="12"/>
    </row>
    <row r="60" spans="1:25" s="26" customFormat="1" ht="14.5" customHeight="1" x14ac:dyDescent="0.35">
      <c r="S60" s="15"/>
      <c r="T60" s="12"/>
      <c r="U60" s="12"/>
      <c r="Y60" s="12"/>
    </row>
    <row r="61" spans="1:25" ht="14.5" customHeight="1" x14ac:dyDescent="0.35">
      <c r="A61" s="12" t="s">
        <v>104</v>
      </c>
      <c r="B61" s="12"/>
      <c r="C61" s="17" t="s">
        <v>13</v>
      </c>
      <c r="D61" s="17" t="s">
        <v>29</v>
      </c>
      <c r="E61" s="12" t="s">
        <v>7</v>
      </c>
      <c r="F61" s="12" t="s">
        <v>3</v>
      </c>
      <c r="G61" s="12"/>
      <c r="H61" s="12" t="s">
        <v>96</v>
      </c>
      <c r="I61" s="12" t="s">
        <v>6</v>
      </c>
      <c r="J61" s="12" t="s">
        <v>94</v>
      </c>
      <c r="K61" s="12" t="s">
        <v>7</v>
      </c>
      <c r="L61" s="12" t="s">
        <v>95</v>
      </c>
      <c r="M61" s="25" t="s">
        <v>127</v>
      </c>
      <c r="N61" s="16"/>
      <c r="O61" s="24"/>
      <c r="P61" s="12"/>
      <c r="Q61" s="18"/>
      <c r="R61" s="26"/>
      <c r="S61" s="12"/>
      <c r="T61" s="12"/>
      <c r="U61" s="20"/>
      <c r="V61" s="25"/>
      <c r="W61" s="25"/>
      <c r="X61" s="25"/>
      <c r="Y61" s="25"/>
    </row>
    <row r="62" spans="1:25" ht="14.5" customHeight="1" x14ac:dyDescent="0.35">
      <c r="A62" s="25">
        <v>3</v>
      </c>
      <c r="B62" s="25">
        <v>0</v>
      </c>
      <c r="C62" s="25">
        <f t="shared" ref="C62:C76" si="20">A62+(B62/12)</f>
        <v>3</v>
      </c>
      <c r="D62" s="25">
        <v>0.9</v>
      </c>
      <c r="E62" s="25">
        <v>0</v>
      </c>
      <c r="F62" s="25"/>
      <c r="H62" s="25">
        <f>C62</f>
        <v>3</v>
      </c>
      <c r="I62" s="25">
        <f>D62</f>
        <v>0.9</v>
      </c>
      <c r="J62" s="25">
        <f>(H63-H62)*I62</f>
        <v>0.67500000000000004</v>
      </c>
      <c r="K62" s="21">
        <f>E62</f>
        <v>0</v>
      </c>
      <c r="L62" s="21">
        <f>J62*K62</f>
        <v>0</v>
      </c>
      <c r="N62" s="12"/>
      <c r="O62" s="18"/>
      <c r="P62" s="12"/>
      <c r="Q62" s="18"/>
      <c r="R62" s="12"/>
      <c r="S62" s="12"/>
      <c r="T62" s="12"/>
      <c r="U62" s="20"/>
      <c r="V62" s="25"/>
      <c r="W62" s="25"/>
      <c r="X62" s="25"/>
      <c r="Y62" s="25"/>
    </row>
    <row r="63" spans="1:25" ht="14.5" customHeight="1" x14ac:dyDescent="0.35">
      <c r="A63" s="25">
        <v>3</v>
      </c>
      <c r="B63" s="25">
        <v>9</v>
      </c>
      <c r="C63" s="25">
        <f t="shared" si="20"/>
        <v>3.75</v>
      </c>
      <c r="D63" s="25">
        <v>1</v>
      </c>
      <c r="E63" s="25">
        <v>0</v>
      </c>
      <c r="F63" s="25" t="s">
        <v>37</v>
      </c>
      <c r="H63" s="25">
        <f t="shared" ref="H63:H76" si="21">C63</f>
        <v>3.75</v>
      </c>
      <c r="I63" s="25">
        <f t="shared" ref="I63:I76" si="22">D63</f>
        <v>1</v>
      </c>
      <c r="J63" s="25"/>
      <c r="K63" s="25">
        <f>E63</f>
        <v>0</v>
      </c>
      <c r="L63" s="25">
        <f t="shared" ref="L63:L76" si="23">J63*K63</f>
        <v>0</v>
      </c>
      <c r="N63" s="12"/>
      <c r="O63" s="26"/>
      <c r="P63" s="12"/>
      <c r="Q63" s="18"/>
      <c r="R63" s="26"/>
      <c r="S63" s="12"/>
      <c r="T63" s="12"/>
      <c r="U63" s="20"/>
      <c r="V63" s="25"/>
      <c r="W63" s="25"/>
      <c r="X63" s="25"/>
      <c r="Y63" s="25"/>
    </row>
    <row r="64" spans="1:25" ht="14.5" customHeight="1" x14ac:dyDescent="0.35">
      <c r="B64" s="25"/>
      <c r="C64" s="25"/>
      <c r="D64" s="25">
        <v>0.83</v>
      </c>
      <c r="E64" s="25">
        <v>0.1</v>
      </c>
      <c r="F64" s="25"/>
      <c r="H64" s="25"/>
      <c r="I64" s="25">
        <f t="shared" si="22"/>
        <v>0.83</v>
      </c>
      <c r="J64" s="25">
        <f>(H65-H63)*I64</f>
        <v>1.1066666666666665</v>
      </c>
      <c r="K64" s="25">
        <f t="shared" ref="K64:K76" si="24">E64</f>
        <v>0.1</v>
      </c>
      <c r="L64" s="25">
        <f t="shared" si="23"/>
        <v>0.11066666666666665</v>
      </c>
      <c r="N64" s="12"/>
      <c r="O64" s="26"/>
      <c r="P64" s="12"/>
      <c r="Q64" s="18"/>
      <c r="R64" s="12"/>
      <c r="S64" s="12"/>
      <c r="T64" s="26"/>
      <c r="U64" s="26"/>
      <c r="V64" s="25"/>
      <c r="W64" s="25"/>
      <c r="X64" s="25"/>
      <c r="Y64" s="25"/>
    </row>
    <row r="65" spans="1:32" ht="14.5" customHeight="1" x14ac:dyDescent="0.35">
      <c r="A65" s="25">
        <v>5</v>
      </c>
      <c r="B65" s="25">
        <v>1</v>
      </c>
      <c r="C65" s="25">
        <f t="shared" si="20"/>
        <v>5.083333333333333</v>
      </c>
      <c r="D65" s="25"/>
      <c r="E65" s="25"/>
      <c r="F65" s="25" t="s">
        <v>20</v>
      </c>
      <c r="H65" s="25">
        <f t="shared" si="21"/>
        <v>5.083333333333333</v>
      </c>
      <c r="I65" s="25"/>
      <c r="J65" s="25"/>
      <c r="K65" s="25"/>
      <c r="L65" s="25">
        <f t="shared" si="23"/>
        <v>0</v>
      </c>
      <c r="O65" s="25"/>
      <c r="P65" s="25"/>
      <c r="Q65" s="25"/>
      <c r="R65" s="25"/>
      <c r="S65" s="15"/>
      <c r="T65" s="12"/>
      <c r="U65" s="12"/>
      <c r="V65" s="25"/>
      <c r="W65" s="25"/>
      <c r="X65" s="25"/>
      <c r="Y65" s="25"/>
    </row>
    <row r="66" spans="1:32" ht="14.5" customHeight="1" x14ac:dyDescent="0.35">
      <c r="A66" s="25">
        <v>6</v>
      </c>
      <c r="B66" s="25">
        <v>7</v>
      </c>
      <c r="C66" s="25">
        <f t="shared" si="20"/>
        <v>6.583333333333333</v>
      </c>
      <c r="D66" s="25">
        <v>1.6</v>
      </c>
      <c r="E66" s="25">
        <v>0.2</v>
      </c>
      <c r="F66" s="25"/>
      <c r="H66" s="25">
        <f t="shared" si="21"/>
        <v>6.583333333333333</v>
      </c>
      <c r="I66" s="25">
        <f t="shared" si="22"/>
        <v>1.6</v>
      </c>
      <c r="J66" s="25">
        <f>(H67-H65)*I66</f>
        <v>4.2666666666666675</v>
      </c>
      <c r="K66" s="25">
        <f t="shared" si="24"/>
        <v>0.2</v>
      </c>
      <c r="L66" s="25">
        <f t="shared" si="23"/>
        <v>0.8533333333333335</v>
      </c>
      <c r="O66" s="25"/>
      <c r="P66" s="25"/>
      <c r="Q66" s="25"/>
      <c r="R66" s="25"/>
      <c r="S66" s="15"/>
      <c r="T66" s="12"/>
      <c r="U66" s="12"/>
      <c r="V66" s="25"/>
      <c r="W66" s="25"/>
      <c r="X66" s="25"/>
      <c r="Y66" s="25"/>
    </row>
    <row r="67" spans="1:32" ht="14.5" customHeight="1" x14ac:dyDescent="0.35">
      <c r="A67" s="25">
        <v>7</v>
      </c>
      <c r="B67" s="25">
        <v>9</v>
      </c>
      <c r="C67" s="25">
        <f t="shared" si="20"/>
        <v>7.75</v>
      </c>
      <c r="D67" s="25"/>
      <c r="E67" s="25"/>
      <c r="F67" s="25" t="s">
        <v>20</v>
      </c>
      <c r="H67" s="25">
        <f t="shared" si="21"/>
        <v>7.75</v>
      </c>
      <c r="I67" s="25"/>
      <c r="J67" s="25"/>
      <c r="K67" s="25"/>
      <c r="L67" s="25">
        <f t="shared" si="23"/>
        <v>0</v>
      </c>
      <c r="O67" s="25"/>
      <c r="P67" s="25"/>
      <c r="Q67" s="25"/>
      <c r="R67" s="25"/>
      <c r="S67" s="15"/>
      <c r="T67" s="12"/>
      <c r="U67" s="12"/>
      <c r="V67" s="25"/>
      <c r="W67" s="25"/>
      <c r="X67" s="25"/>
      <c r="Y67" s="12"/>
    </row>
    <row r="68" spans="1:32" ht="14.5" customHeight="1" x14ac:dyDescent="0.35">
      <c r="A68" s="25">
        <v>9</v>
      </c>
      <c r="B68" s="25">
        <v>2</v>
      </c>
      <c r="C68" s="25">
        <f t="shared" si="20"/>
        <v>9.1666666666666661</v>
      </c>
      <c r="D68" s="25">
        <v>2.2999999999999998</v>
      </c>
      <c r="E68" s="25">
        <v>0.65</v>
      </c>
      <c r="F68" s="25"/>
      <c r="G68" s="12"/>
      <c r="H68" s="25">
        <f t="shared" si="21"/>
        <v>9.1666666666666661</v>
      </c>
      <c r="I68" s="25">
        <f t="shared" si="22"/>
        <v>2.2999999999999998</v>
      </c>
      <c r="J68" s="25">
        <f>(H69-H67)*I68</f>
        <v>5.75</v>
      </c>
      <c r="K68" s="25">
        <f t="shared" si="24"/>
        <v>0.65</v>
      </c>
      <c r="L68" s="25">
        <f t="shared" si="23"/>
        <v>3.7375000000000003</v>
      </c>
      <c r="O68" s="25"/>
      <c r="P68" s="25"/>
      <c r="Q68" s="25"/>
      <c r="R68" s="25"/>
      <c r="S68" s="15"/>
      <c r="T68" s="12"/>
      <c r="U68" s="12"/>
      <c r="V68" s="25"/>
      <c r="W68" s="25"/>
      <c r="X68" s="25"/>
      <c r="Y68" s="25"/>
    </row>
    <row r="69" spans="1:32" ht="14.5" customHeight="1" x14ac:dyDescent="0.35">
      <c r="A69" s="25">
        <v>10</v>
      </c>
      <c r="B69" s="25">
        <v>3</v>
      </c>
      <c r="C69" s="25">
        <f t="shared" si="20"/>
        <v>10.25</v>
      </c>
      <c r="D69" s="25"/>
      <c r="E69" s="25"/>
      <c r="F69" s="25" t="s">
        <v>20</v>
      </c>
      <c r="H69" s="25">
        <f t="shared" si="21"/>
        <v>10.25</v>
      </c>
      <c r="I69" s="25"/>
      <c r="J69" s="25"/>
      <c r="K69" s="25"/>
      <c r="L69" s="25">
        <f t="shared" si="23"/>
        <v>0</v>
      </c>
      <c r="O69" s="25"/>
      <c r="S69" s="15"/>
      <c r="T69" s="12"/>
      <c r="U69" s="12"/>
      <c r="V69" s="25"/>
      <c r="W69" s="25"/>
      <c r="X69" s="25"/>
      <c r="Y69" s="25"/>
    </row>
    <row r="70" spans="1:32" ht="14.5" customHeight="1" x14ac:dyDescent="0.35">
      <c r="B70" s="25"/>
      <c r="C70" s="25"/>
      <c r="D70" s="25">
        <v>2.4</v>
      </c>
      <c r="E70" s="25">
        <v>0.4</v>
      </c>
      <c r="F70" s="25"/>
      <c r="H70" s="25"/>
      <c r="I70" s="25">
        <f t="shared" si="22"/>
        <v>2.4</v>
      </c>
      <c r="J70" s="25">
        <f>(H71-H69)*I70</f>
        <v>2.7999999999999985</v>
      </c>
      <c r="K70" s="25">
        <f t="shared" si="24"/>
        <v>0.4</v>
      </c>
      <c r="L70" s="25">
        <f t="shared" si="23"/>
        <v>1.1199999999999994</v>
      </c>
      <c r="O70" s="25"/>
      <c r="S70" s="15"/>
      <c r="T70" s="12"/>
      <c r="U70" s="12"/>
      <c r="V70" s="25"/>
      <c r="W70" s="25"/>
      <c r="X70" s="25"/>
      <c r="Y70" s="25"/>
    </row>
    <row r="71" spans="1:32" ht="14.5" customHeight="1" x14ac:dyDescent="0.35">
      <c r="A71" s="25">
        <v>11</v>
      </c>
      <c r="B71" s="25">
        <v>5</v>
      </c>
      <c r="C71" s="25">
        <f t="shared" si="20"/>
        <v>11.416666666666666</v>
      </c>
      <c r="D71" s="25"/>
      <c r="E71" s="25"/>
      <c r="F71" s="25" t="s">
        <v>20</v>
      </c>
      <c r="H71" s="25">
        <f t="shared" si="21"/>
        <v>11.416666666666666</v>
      </c>
      <c r="I71" s="25"/>
      <c r="J71" s="25"/>
      <c r="K71" s="25"/>
      <c r="L71" s="25">
        <f t="shared" si="23"/>
        <v>0</v>
      </c>
      <c r="O71" s="25"/>
      <c r="S71" s="15"/>
      <c r="T71" s="12"/>
      <c r="U71" s="12"/>
      <c r="V71" s="25"/>
      <c r="W71" s="25"/>
      <c r="X71" s="25"/>
      <c r="Y71" s="25"/>
    </row>
    <row r="72" spans="1:32" ht="14.5" customHeight="1" x14ac:dyDescent="0.35">
      <c r="B72" s="25"/>
      <c r="C72" s="25"/>
      <c r="D72" s="25">
        <v>2.56</v>
      </c>
      <c r="E72" s="25">
        <v>0</v>
      </c>
      <c r="F72" s="25"/>
      <c r="H72" s="25"/>
      <c r="I72" s="25">
        <f t="shared" si="22"/>
        <v>2.56</v>
      </c>
      <c r="J72" s="25">
        <f>(H73-H71)*I72</f>
        <v>4.4800000000000004</v>
      </c>
      <c r="K72" s="25">
        <f t="shared" si="24"/>
        <v>0</v>
      </c>
      <c r="L72" s="25">
        <f t="shared" si="23"/>
        <v>0</v>
      </c>
      <c r="O72" s="25"/>
      <c r="P72" s="25"/>
      <c r="Q72" s="25"/>
      <c r="R72" s="25"/>
      <c r="S72" s="15"/>
      <c r="T72" s="12"/>
      <c r="U72" s="12"/>
      <c r="V72" s="25"/>
      <c r="W72" s="25"/>
      <c r="X72" s="25"/>
      <c r="Y72" s="25"/>
    </row>
    <row r="73" spans="1:32" ht="14.5" customHeight="1" x14ac:dyDescent="0.35">
      <c r="A73" s="25">
        <v>13</v>
      </c>
      <c r="B73" s="25">
        <v>2</v>
      </c>
      <c r="C73" s="25">
        <f t="shared" si="20"/>
        <v>13.166666666666666</v>
      </c>
      <c r="D73" s="25"/>
      <c r="E73" s="25"/>
      <c r="F73" s="25" t="s">
        <v>20</v>
      </c>
      <c r="H73" s="25">
        <f t="shared" si="21"/>
        <v>13.166666666666666</v>
      </c>
      <c r="I73" s="25"/>
      <c r="J73" s="25"/>
      <c r="K73" s="25"/>
      <c r="L73" s="25">
        <f t="shared" si="23"/>
        <v>0</v>
      </c>
      <c r="O73" s="25"/>
      <c r="P73" s="25"/>
      <c r="Q73" s="25"/>
      <c r="R73" s="25"/>
      <c r="S73" s="15"/>
      <c r="T73" s="12"/>
      <c r="U73" s="12"/>
      <c r="V73" s="25"/>
      <c r="W73" s="25"/>
      <c r="X73" s="25"/>
      <c r="Y73" s="25"/>
    </row>
    <row r="74" spans="1:32" ht="14.5" customHeight="1" x14ac:dyDescent="0.35">
      <c r="A74" s="25">
        <v>13</v>
      </c>
      <c r="B74" s="25">
        <v>9</v>
      </c>
      <c r="C74" s="25">
        <f t="shared" si="20"/>
        <v>13.75</v>
      </c>
      <c r="D74" s="25">
        <v>0.33</v>
      </c>
      <c r="E74" s="25">
        <v>0</v>
      </c>
      <c r="F74" s="25"/>
      <c r="H74" s="25">
        <f t="shared" si="21"/>
        <v>13.75</v>
      </c>
      <c r="I74" s="25">
        <f t="shared" si="22"/>
        <v>0.33</v>
      </c>
      <c r="J74" s="25">
        <f>(H74-H73)*((I74+I72)/2)</f>
        <v>0.84291666666666754</v>
      </c>
      <c r="K74" s="25">
        <f t="shared" si="24"/>
        <v>0</v>
      </c>
      <c r="L74" s="25">
        <f t="shared" si="23"/>
        <v>0</v>
      </c>
      <c r="O74" s="25"/>
      <c r="P74" s="25"/>
      <c r="Q74" s="25"/>
      <c r="R74" s="25"/>
      <c r="S74" s="15"/>
      <c r="T74" s="12"/>
      <c r="U74" s="12"/>
      <c r="V74" s="25"/>
      <c r="W74" s="25"/>
      <c r="X74" s="25"/>
      <c r="Y74" s="25"/>
    </row>
    <row r="75" spans="1:32" ht="14.5" customHeight="1" x14ac:dyDescent="0.35">
      <c r="A75" s="25">
        <v>15</v>
      </c>
      <c r="B75" s="25">
        <v>10</v>
      </c>
      <c r="C75" s="25">
        <f t="shared" si="20"/>
        <v>15.833333333333334</v>
      </c>
      <c r="D75" s="25">
        <v>0.4</v>
      </c>
      <c r="E75" s="25">
        <v>0</v>
      </c>
      <c r="F75" s="25"/>
      <c r="H75" s="25">
        <f t="shared" si="21"/>
        <v>15.833333333333334</v>
      </c>
      <c r="I75" s="25">
        <f t="shared" si="22"/>
        <v>0.4</v>
      </c>
      <c r="J75" s="25">
        <f>(H75-H74)*((I74+I75)/2)</f>
        <v>0.76041666666666685</v>
      </c>
      <c r="K75" s="25">
        <f t="shared" si="24"/>
        <v>0</v>
      </c>
      <c r="L75" s="25">
        <f t="shared" si="23"/>
        <v>0</v>
      </c>
      <c r="O75" s="25"/>
      <c r="P75" s="25"/>
      <c r="Q75" s="25"/>
      <c r="R75" s="25"/>
      <c r="S75" s="15"/>
      <c r="T75" s="12"/>
      <c r="U75" s="12"/>
      <c r="Y75" s="12"/>
    </row>
    <row r="76" spans="1:32" ht="14.5" customHeight="1" x14ac:dyDescent="0.35">
      <c r="A76" s="25">
        <v>16</v>
      </c>
      <c r="B76" s="25">
        <v>8</v>
      </c>
      <c r="C76" s="25">
        <f t="shared" si="20"/>
        <v>16.666666666666668</v>
      </c>
      <c r="D76" s="25">
        <v>0.55000000000000004</v>
      </c>
      <c r="E76" s="25">
        <v>0</v>
      </c>
      <c r="F76" s="25"/>
      <c r="G76" s="12"/>
      <c r="H76" s="25">
        <f t="shared" si="21"/>
        <v>16.666666666666668</v>
      </c>
      <c r="I76" s="25">
        <f t="shared" si="22"/>
        <v>0.55000000000000004</v>
      </c>
      <c r="J76" s="25">
        <f>(H76-H75)*((I75+I76)/2)</f>
        <v>0.39583333333333365</v>
      </c>
      <c r="K76" s="25">
        <f t="shared" si="24"/>
        <v>0</v>
      </c>
      <c r="L76" s="25">
        <f t="shared" si="23"/>
        <v>0</v>
      </c>
      <c r="M76" s="21">
        <f>H76-H62</f>
        <v>13.666666666666668</v>
      </c>
      <c r="O76" s="25"/>
      <c r="P76" s="25"/>
      <c r="Q76" s="25"/>
      <c r="R76" s="25"/>
      <c r="S76" s="15"/>
      <c r="T76" s="12"/>
      <c r="U76" s="12"/>
      <c r="AA76" s="25"/>
      <c r="AB76" s="25"/>
      <c r="AC76" s="25"/>
      <c r="AD76" s="25"/>
      <c r="AE76" s="25"/>
      <c r="AF76" s="25"/>
    </row>
    <row r="77" spans="1:32" ht="14.5" customHeight="1" x14ac:dyDescent="0.35">
      <c r="S77" s="15"/>
      <c r="T77" s="12"/>
      <c r="U77" s="12"/>
    </row>
    <row r="78" spans="1:32" ht="14.5" customHeight="1" x14ac:dyDescent="0.35">
      <c r="A78" s="16" t="s">
        <v>97</v>
      </c>
      <c r="B78" s="24">
        <f>SUM(J62:J76)</f>
        <v>21.077500000000001</v>
      </c>
      <c r="C78" s="12" t="s">
        <v>101</v>
      </c>
      <c r="D78" s="18" t="s">
        <v>111</v>
      </c>
      <c r="E78" s="25">
        <v>113.15649999999999</v>
      </c>
      <c r="F78" s="12" t="s">
        <v>58</v>
      </c>
      <c r="G78" s="12" t="s">
        <v>121</v>
      </c>
      <c r="H78" s="20">
        <f>P6-(((T4F1_Flat_Level-Q6)/(Q5-Q6))*(P6-P5))</f>
        <v>2.8011866591080881</v>
      </c>
      <c r="S78" s="15"/>
      <c r="T78" s="12"/>
      <c r="U78" s="12"/>
    </row>
    <row r="79" spans="1:32" ht="14.5" customHeight="1" x14ac:dyDescent="0.35">
      <c r="A79" s="12" t="s">
        <v>99</v>
      </c>
      <c r="B79" s="18">
        <f>SUM(L62:L76)</f>
        <v>5.8214999999999995</v>
      </c>
      <c r="C79" s="12" t="s">
        <v>100</v>
      </c>
      <c r="D79" s="18" t="s">
        <v>94</v>
      </c>
      <c r="E79" s="12">
        <f>SUM(U:U)</f>
        <v>21.077765020833279</v>
      </c>
      <c r="F79" s="12" t="s">
        <v>101</v>
      </c>
      <c r="G79" s="12" t="s">
        <v>123</v>
      </c>
      <c r="H79" s="20">
        <f>P37+(((T4F1_Flat_Level-Q37)/(Q38-Q37))*(P38-P37))</f>
        <v>17.918963703703703</v>
      </c>
      <c r="S79" s="15"/>
      <c r="T79" s="12"/>
      <c r="U79" s="12"/>
    </row>
    <row r="80" spans="1:32" ht="14.5" customHeight="1" x14ac:dyDescent="0.35">
      <c r="A80" s="12" t="s">
        <v>98</v>
      </c>
      <c r="B80" s="25">
        <f>B78/E81</f>
        <v>1.394219529618933</v>
      </c>
      <c r="C80" s="12" t="s">
        <v>58</v>
      </c>
      <c r="D80" s="18" t="s">
        <v>112</v>
      </c>
      <c r="E80" s="25">
        <f>B78-E79</f>
        <v>-2.6502083327883952E-4</v>
      </c>
      <c r="F80" s="12" t="s">
        <v>101</v>
      </c>
      <c r="G80" s="12" t="s">
        <v>175</v>
      </c>
      <c r="H80" s="20">
        <f>H79-H78</f>
        <v>15.117777044595615</v>
      </c>
      <c r="S80" s="15"/>
      <c r="T80" s="12"/>
      <c r="U80" s="12"/>
    </row>
    <row r="81" spans="1:21" ht="14.5" customHeight="1" x14ac:dyDescent="0.35">
      <c r="A81" s="12" t="s">
        <v>102</v>
      </c>
      <c r="B81" s="25">
        <f>B79/B78</f>
        <v>0.27619499466255482</v>
      </c>
      <c r="C81" s="12" t="s">
        <v>103</v>
      </c>
      <c r="D81" s="18" t="s">
        <v>127</v>
      </c>
      <c r="E81" s="12">
        <f>H80</f>
        <v>15.117777044595615</v>
      </c>
      <c r="F81" s="12" t="s">
        <v>58</v>
      </c>
      <c r="G81" s="12" t="s">
        <v>180</v>
      </c>
      <c r="H81" s="36">
        <f>H80/$D$150</f>
        <v>0.91392103040376504</v>
      </c>
      <c r="S81" s="15"/>
      <c r="T81" s="12"/>
      <c r="U81" s="12"/>
    </row>
    <row r="82" spans="1:21" ht="14.5" customHeight="1" x14ac:dyDescent="0.35">
      <c r="G82" s="12"/>
      <c r="S82" s="15"/>
      <c r="T82" s="12"/>
      <c r="U82" s="12"/>
    </row>
    <row r="83" spans="1:21" ht="14.5" customHeight="1" x14ac:dyDescent="0.35">
      <c r="A83" s="25" t="s">
        <v>143</v>
      </c>
      <c r="B83" s="12"/>
      <c r="C83" s="17" t="s">
        <v>13</v>
      </c>
      <c r="D83" s="17" t="s">
        <v>29</v>
      </c>
      <c r="E83" s="12" t="s">
        <v>7</v>
      </c>
      <c r="F83" s="12" t="s">
        <v>3</v>
      </c>
      <c r="H83" s="12" t="s">
        <v>96</v>
      </c>
      <c r="I83" s="12" t="s">
        <v>6</v>
      </c>
      <c r="J83" s="12" t="s">
        <v>94</v>
      </c>
      <c r="K83" s="12" t="s">
        <v>7</v>
      </c>
      <c r="L83" s="12" t="s">
        <v>95</v>
      </c>
      <c r="M83" s="25" t="s">
        <v>127</v>
      </c>
      <c r="S83" s="15"/>
      <c r="T83" s="12"/>
      <c r="U83" s="12"/>
    </row>
    <row r="84" spans="1:21" s="25" customFormat="1" ht="14.5" customHeight="1" x14ac:dyDescent="0.35">
      <c r="A84" s="25">
        <v>2</v>
      </c>
      <c r="B84" s="25">
        <v>8</v>
      </c>
      <c r="C84" s="25">
        <f t="shared" ref="C84:C95" si="25">A84+(B84/12)</f>
        <v>2.6666666666666665</v>
      </c>
      <c r="F84" s="25" t="s">
        <v>10</v>
      </c>
      <c r="H84" s="25">
        <f t="shared" ref="H84:H95" si="26">C84</f>
        <v>2.6666666666666665</v>
      </c>
      <c r="I84" s="25">
        <f t="shared" ref="I84:I95" si="27">D84</f>
        <v>0</v>
      </c>
      <c r="K84" s="25">
        <f t="shared" ref="K84:K95" si="28">E84</f>
        <v>0</v>
      </c>
      <c r="L84" s="25">
        <f t="shared" ref="L84:L95" si="29">J84*K84</f>
        <v>0</v>
      </c>
      <c r="S84" s="15"/>
    </row>
    <row r="85" spans="1:21" s="25" customFormat="1" ht="14.5" customHeight="1" x14ac:dyDescent="0.35">
      <c r="A85" s="25">
        <v>3</v>
      </c>
      <c r="B85" s="25">
        <v>1</v>
      </c>
      <c r="C85" s="25">
        <f t="shared" si="25"/>
        <v>3.0833333333333335</v>
      </c>
      <c r="D85" s="25">
        <v>1</v>
      </c>
      <c r="E85" s="25">
        <v>-0.1</v>
      </c>
      <c r="H85" s="25">
        <f t="shared" si="26"/>
        <v>3.0833333333333335</v>
      </c>
      <c r="I85" s="25">
        <f t="shared" si="27"/>
        <v>1</v>
      </c>
      <c r="J85" s="25">
        <f>((H86-H84)/2)*I85</f>
        <v>0.54166666666666674</v>
      </c>
      <c r="K85" s="25">
        <f t="shared" si="28"/>
        <v>-0.1</v>
      </c>
      <c r="L85" s="25">
        <f t="shared" si="29"/>
        <v>-5.4166666666666675E-2</v>
      </c>
      <c r="S85" s="15"/>
      <c r="U85" s="12"/>
    </row>
    <row r="86" spans="1:21" s="25" customFormat="1" ht="14.5" customHeight="1" x14ac:dyDescent="0.35">
      <c r="A86" s="25">
        <v>3</v>
      </c>
      <c r="B86" s="25">
        <v>9</v>
      </c>
      <c r="C86" s="25">
        <f t="shared" si="25"/>
        <v>3.75</v>
      </c>
      <c r="D86" s="25">
        <v>1</v>
      </c>
      <c r="E86" s="25">
        <v>-0.14000000000000001</v>
      </c>
      <c r="H86" s="25">
        <f t="shared" si="26"/>
        <v>3.75</v>
      </c>
      <c r="I86" s="25">
        <f t="shared" si="27"/>
        <v>1</v>
      </c>
      <c r="J86" s="25">
        <f t="shared" ref="J86:J93" si="30">((H87-H85)/2)*I86</f>
        <v>1.0833333333333333</v>
      </c>
      <c r="K86" s="25">
        <f t="shared" si="28"/>
        <v>-0.14000000000000001</v>
      </c>
      <c r="L86" s="25">
        <f t="shared" si="29"/>
        <v>-0.15166666666666667</v>
      </c>
      <c r="S86" s="15"/>
      <c r="U86" s="12"/>
    </row>
    <row r="87" spans="1:21" s="25" customFormat="1" ht="14.5" customHeight="1" x14ac:dyDescent="0.35">
      <c r="A87" s="25">
        <v>5</v>
      </c>
      <c r="B87" s="25">
        <v>3</v>
      </c>
      <c r="C87" s="25">
        <f t="shared" si="25"/>
        <v>5.25</v>
      </c>
      <c r="D87" s="25">
        <v>1.3</v>
      </c>
      <c r="E87" s="25">
        <v>0.31</v>
      </c>
      <c r="H87" s="25">
        <f t="shared" si="26"/>
        <v>5.25</v>
      </c>
      <c r="I87" s="25">
        <f t="shared" si="27"/>
        <v>1.3</v>
      </c>
      <c r="J87" s="25">
        <f t="shared" si="30"/>
        <v>1.8416666666666666</v>
      </c>
      <c r="K87" s="25">
        <f t="shared" si="28"/>
        <v>0.31</v>
      </c>
      <c r="L87" s="25">
        <f>J87*K87</f>
        <v>0.57091666666666663</v>
      </c>
      <c r="S87" s="15"/>
      <c r="U87" s="12"/>
    </row>
    <row r="88" spans="1:21" s="25" customFormat="1" ht="14.5" customHeight="1" x14ac:dyDescent="0.35">
      <c r="A88" s="25">
        <v>6</v>
      </c>
      <c r="B88" s="25">
        <v>7</v>
      </c>
      <c r="C88" s="25">
        <f t="shared" si="25"/>
        <v>6.583333333333333</v>
      </c>
      <c r="D88" s="25">
        <v>1.65</v>
      </c>
      <c r="E88" s="25">
        <v>0.55000000000000004</v>
      </c>
      <c r="H88" s="25">
        <f t="shared" si="26"/>
        <v>6.583333333333333</v>
      </c>
      <c r="I88" s="25">
        <f t="shared" si="27"/>
        <v>1.65</v>
      </c>
      <c r="J88" s="25">
        <f t="shared" si="30"/>
        <v>3.2312499999999993</v>
      </c>
      <c r="K88" s="25">
        <f t="shared" si="28"/>
        <v>0.55000000000000004</v>
      </c>
      <c r="L88" s="25">
        <f t="shared" si="29"/>
        <v>1.7771874999999997</v>
      </c>
      <c r="S88" s="15"/>
      <c r="U88" s="12"/>
    </row>
    <row r="89" spans="1:21" s="25" customFormat="1" ht="14.5" customHeight="1" x14ac:dyDescent="0.35">
      <c r="A89" s="25">
        <v>9</v>
      </c>
      <c r="B89" s="25">
        <v>2</v>
      </c>
      <c r="C89" s="25">
        <f t="shared" si="25"/>
        <v>9.1666666666666661</v>
      </c>
      <c r="D89" s="25">
        <v>2.4</v>
      </c>
      <c r="E89" s="25">
        <v>0.8</v>
      </c>
      <c r="H89" s="25">
        <f t="shared" si="26"/>
        <v>9.1666666666666661</v>
      </c>
      <c r="I89" s="25">
        <f t="shared" si="27"/>
        <v>2.4</v>
      </c>
      <c r="J89" s="25">
        <f t="shared" si="30"/>
        <v>5.1000000000000005</v>
      </c>
      <c r="K89" s="25">
        <f t="shared" si="28"/>
        <v>0.8</v>
      </c>
      <c r="L89" s="25">
        <f t="shared" si="29"/>
        <v>4.080000000000001</v>
      </c>
      <c r="S89" s="15"/>
      <c r="U89" s="12"/>
    </row>
    <row r="90" spans="1:21" s="25" customFormat="1" ht="14.5" customHeight="1" x14ac:dyDescent="0.35">
      <c r="A90" s="25">
        <v>10</v>
      </c>
      <c r="B90" s="25">
        <v>10</v>
      </c>
      <c r="C90" s="25">
        <f t="shared" si="25"/>
        <v>10.833333333333334</v>
      </c>
      <c r="D90" s="25">
        <v>2.73</v>
      </c>
      <c r="E90" s="25">
        <v>0.5</v>
      </c>
      <c r="H90" s="25">
        <f t="shared" si="26"/>
        <v>10.833333333333334</v>
      </c>
      <c r="I90" s="25">
        <f t="shared" si="27"/>
        <v>2.73</v>
      </c>
      <c r="J90" s="25">
        <f t="shared" si="30"/>
        <v>3.526250000000001</v>
      </c>
      <c r="K90" s="25">
        <f t="shared" si="28"/>
        <v>0.5</v>
      </c>
      <c r="L90" s="25">
        <f t="shared" si="29"/>
        <v>1.7631250000000005</v>
      </c>
      <c r="S90" s="15"/>
      <c r="U90" s="12"/>
    </row>
    <row r="91" spans="1:21" s="25" customFormat="1" ht="14.5" customHeight="1" x14ac:dyDescent="0.35">
      <c r="A91" s="25">
        <v>11</v>
      </c>
      <c r="B91" s="25">
        <v>9</v>
      </c>
      <c r="C91" s="25">
        <f t="shared" si="25"/>
        <v>11.75</v>
      </c>
      <c r="D91" s="25">
        <v>2.82</v>
      </c>
      <c r="E91" s="25">
        <v>0.3</v>
      </c>
      <c r="H91" s="25">
        <f t="shared" si="26"/>
        <v>11.75</v>
      </c>
      <c r="I91" s="25">
        <f t="shared" si="27"/>
        <v>2.82</v>
      </c>
      <c r="J91" s="25">
        <f t="shared" si="30"/>
        <v>4.1124999999999989</v>
      </c>
      <c r="K91" s="25">
        <f t="shared" si="28"/>
        <v>0.3</v>
      </c>
      <c r="L91" s="25">
        <f t="shared" si="29"/>
        <v>1.2337499999999997</v>
      </c>
      <c r="S91" s="15"/>
      <c r="U91" s="12"/>
    </row>
    <row r="92" spans="1:21" s="25" customFormat="1" ht="14.5" customHeight="1" x14ac:dyDescent="0.35">
      <c r="A92" s="25">
        <v>13</v>
      </c>
      <c r="B92" s="25">
        <v>9</v>
      </c>
      <c r="C92" s="25">
        <f t="shared" si="25"/>
        <v>13.75</v>
      </c>
      <c r="D92" s="25">
        <v>0.5</v>
      </c>
      <c r="E92" s="25">
        <v>-0.1</v>
      </c>
      <c r="H92" s="25">
        <f t="shared" si="26"/>
        <v>13.75</v>
      </c>
      <c r="I92" s="25">
        <f t="shared" si="27"/>
        <v>0.5</v>
      </c>
      <c r="J92" s="25">
        <f t="shared" si="30"/>
        <v>1.0208333333333335</v>
      </c>
      <c r="K92" s="25">
        <f t="shared" si="28"/>
        <v>-0.1</v>
      </c>
      <c r="L92" s="25">
        <f t="shared" si="29"/>
        <v>-0.10208333333333336</v>
      </c>
      <c r="S92" s="15"/>
      <c r="U92" s="12"/>
    </row>
    <row r="93" spans="1:21" s="25" customFormat="1" ht="14.5" customHeight="1" x14ac:dyDescent="0.35">
      <c r="A93" s="25">
        <v>15</v>
      </c>
      <c r="B93" s="25">
        <v>10</v>
      </c>
      <c r="C93" s="25">
        <f t="shared" si="25"/>
        <v>15.833333333333334</v>
      </c>
      <c r="D93" s="25">
        <v>0.6</v>
      </c>
      <c r="E93" s="25">
        <v>-0.16</v>
      </c>
      <c r="H93" s="25">
        <f t="shared" si="26"/>
        <v>15.833333333333334</v>
      </c>
      <c r="I93" s="25">
        <f t="shared" si="27"/>
        <v>0.6</v>
      </c>
      <c r="J93" s="25">
        <f t="shared" si="30"/>
        <v>0.87500000000000033</v>
      </c>
      <c r="K93" s="25">
        <f t="shared" si="28"/>
        <v>-0.16</v>
      </c>
      <c r="L93" s="25">
        <f t="shared" si="29"/>
        <v>-0.14000000000000007</v>
      </c>
      <c r="S93" s="15"/>
      <c r="U93" s="12"/>
    </row>
    <row r="94" spans="1:21" s="25" customFormat="1" ht="14.5" customHeight="1" x14ac:dyDescent="0.35">
      <c r="A94" s="25">
        <v>16</v>
      </c>
      <c r="B94" s="25">
        <v>8</v>
      </c>
      <c r="C94" s="25">
        <f t="shared" si="25"/>
        <v>16.666666666666668</v>
      </c>
      <c r="D94" s="25">
        <v>0.84</v>
      </c>
      <c r="E94" s="25">
        <v>-0.11</v>
      </c>
      <c r="H94" s="25">
        <f t="shared" si="26"/>
        <v>16.666666666666668</v>
      </c>
      <c r="I94" s="25">
        <f t="shared" si="27"/>
        <v>0.84</v>
      </c>
      <c r="J94" s="25">
        <f>((H95-H93)/2)*I94</f>
        <v>1.1549999999999991</v>
      </c>
      <c r="K94" s="25">
        <f t="shared" si="28"/>
        <v>-0.11</v>
      </c>
      <c r="L94" s="25">
        <f t="shared" si="29"/>
        <v>-0.12704999999999991</v>
      </c>
      <c r="S94" s="15"/>
      <c r="U94" s="12"/>
    </row>
    <row r="95" spans="1:21" s="25" customFormat="1" ht="14.5" customHeight="1" x14ac:dyDescent="0.35">
      <c r="A95" s="25">
        <v>18</v>
      </c>
      <c r="B95" s="25">
        <v>7</v>
      </c>
      <c r="C95" s="25">
        <f t="shared" si="25"/>
        <v>18.583333333333332</v>
      </c>
      <c r="D95" s="25">
        <v>0</v>
      </c>
      <c r="F95" s="25" t="s">
        <v>36</v>
      </c>
      <c r="H95" s="25">
        <f t="shared" si="26"/>
        <v>18.583333333333332</v>
      </c>
      <c r="I95" s="25">
        <f t="shared" si="27"/>
        <v>0</v>
      </c>
      <c r="K95" s="25">
        <f t="shared" si="28"/>
        <v>0</v>
      </c>
      <c r="L95" s="25">
        <f t="shared" si="29"/>
        <v>0</v>
      </c>
      <c r="M95" s="25">
        <f>H95-H84</f>
        <v>15.916666666666666</v>
      </c>
      <c r="S95" s="15"/>
    </row>
    <row r="97" spans="1:13" ht="14.5" customHeight="1" x14ac:dyDescent="0.35">
      <c r="A97" s="16" t="s">
        <v>97</v>
      </c>
      <c r="B97" s="24">
        <f>SUM(J84:J95)</f>
        <v>22.487499999999997</v>
      </c>
      <c r="C97" s="12" t="s">
        <v>101</v>
      </c>
      <c r="D97" s="18" t="s">
        <v>111</v>
      </c>
      <c r="E97" s="25">
        <v>113.2433</v>
      </c>
      <c r="F97" s="12" t="s">
        <v>58</v>
      </c>
      <c r="G97" s="12" t="s">
        <v>121</v>
      </c>
      <c r="H97" s="20">
        <f>P6-(((T4f2_Flat_Level-Q6)/(Q5-Q6))*(P6-P5))</f>
        <v>2.7815041194255459</v>
      </c>
    </row>
    <row r="98" spans="1:13" ht="14.5" customHeight="1" x14ac:dyDescent="0.35">
      <c r="A98" s="12" t="s">
        <v>99</v>
      </c>
      <c r="B98" s="18">
        <f>SUM(L84:L95)</f>
        <v>8.8500125000000001</v>
      </c>
      <c r="C98" s="12" t="s">
        <v>100</v>
      </c>
      <c r="D98" s="18" t="s">
        <v>94</v>
      </c>
      <c r="E98" s="12">
        <f>SUM(Y:Y)</f>
        <v>22.48754705555567</v>
      </c>
      <c r="F98" s="12" t="s">
        <v>101</v>
      </c>
      <c r="G98" s="12" t="s">
        <v>123</v>
      </c>
      <c r="H98" s="20">
        <f>P37+(((T4f2_Flat_Level-Q37)/(Q38-Q37))*(P38-P37))</f>
        <v>18.304741481481539</v>
      </c>
    </row>
    <row r="99" spans="1:13" ht="14.5" customHeight="1" x14ac:dyDescent="0.35">
      <c r="A99" s="12" t="s">
        <v>98</v>
      </c>
      <c r="B99" s="25">
        <f>B97/E100</f>
        <v>1.4486346807378594</v>
      </c>
      <c r="C99" s="12" t="s">
        <v>58</v>
      </c>
      <c r="D99" s="18" t="s">
        <v>112</v>
      </c>
      <c r="E99" s="25">
        <f>B97-E98</f>
        <v>-4.7055555672415039E-5</v>
      </c>
      <c r="F99" s="12" t="s">
        <v>101</v>
      </c>
      <c r="G99" s="12" t="s">
        <v>175</v>
      </c>
      <c r="H99" s="20">
        <f>H98-H97</f>
        <v>15.523237362055994</v>
      </c>
    </row>
    <row r="100" spans="1:13" ht="14.5" customHeight="1" x14ac:dyDescent="0.35">
      <c r="A100" s="12" t="s">
        <v>102</v>
      </c>
      <c r="B100" s="25">
        <f>B98/B97</f>
        <v>0.39355252918287942</v>
      </c>
      <c r="C100" s="12" t="s">
        <v>103</v>
      </c>
      <c r="D100" s="18" t="s">
        <v>127</v>
      </c>
      <c r="E100" s="12">
        <f>H99</f>
        <v>15.523237362055994</v>
      </c>
      <c r="F100" s="12" t="s">
        <v>58</v>
      </c>
      <c r="G100" s="12" t="s">
        <v>180</v>
      </c>
      <c r="H100" s="36">
        <f>H99/$D$150</f>
        <v>0.93843248536358648</v>
      </c>
    </row>
    <row r="102" spans="1:13" ht="14.5" customHeight="1" x14ac:dyDescent="0.35">
      <c r="A102" s="25" t="s">
        <v>144</v>
      </c>
      <c r="B102" s="12"/>
      <c r="C102" s="17" t="s">
        <v>13</v>
      </c>
      <c r="D102" s="17" t="s">
        <v>29</v>
      </c>
      <c r="E102" s="12" t="s">
        <v>7</v>
      </c>
      <c r="F102" s="12" t="s">
        <v>3</v>
      </c>
      <c r="H102" s="12" t="s">
        <v>96</v>
      </c>
      <c r="I102" s="12" t="s">
        <v>6</v>
      </c>
      <c r="J102" s="12" t="s">
        <v>94</v>
      </c>
      <c r="K102" s="12" t="s">
        <v>7</v>
      </c>
      <c r="L102" s="12" t="s">
        <v>95</v>
      </c>
      <c r="M102" s="25" t="s">
        <v>127</v>
      </c>
    </row>
    <row r="103" spans="1:13" s="25" customFormat="1" ht="14.5" customHeight="1" x14ac:dyDescent="0.35">
      <c r="A103" s="25">
        <v>2</v>
      </c>
      <c r="B103" s="25">
        <v>11</v>
      </c>
      <c r="C103" s="25">
        <f t="shared" ref="C103:C122" si="31">A103+(B103/12)</f>
        <v>2.9166666666666665</v>
      </c>
      <c r="D103" s="25">
        <v>1.3</v>
      </c>
      <c r="F103" s="25" t="s">
        <v>44</v>
      </c>
      <c r="H103" s="25">
        <f t="shared" ref="H103:H122" si="32">C103</f>
        <v>2.9166666666666665</v>
      </c>
      <c r="I103" s="25">
        <f t="shared" ref="I103:I122" si="33">D103</f>
        <v>1.3</v>
      </c>
      <c r="L103" s="25">
        <f>J103*K103</f>
        <v>0</v>
      </c>
    </row>
    <row r="104" spans="1:13" s="25" customFormat="1" ht="14.5" customHeight="1" x14ac:dyDescent="0.35">
      <c r="A104" s="25">
        <v>3</v>
      </c>
      <c r="B104" s="25">
        <v>7</v>
      </c>
      <c r="C104" s="25">
        <f t="shared" si="31"/>
        <v>3.5833333333333335</v>
      </c>
      <c r="D104" s="25">
        <v>1.4</v>
      </c>
      <c r="E104" s="25">
        <v>-7.0000000000000007E-2</v>
      </c>
      <c r="H104" s="25">
        <f t="shared" si="32"/>
        <v>3.5833333333333335</v>
      </c>
      <c r="I104" s="25">
        <f t="shared" si="33"/>
        <v>1.4</v>
      </c>
      <c r="J104" s="25">
        <f>((H104-H103)*((I103+I104)/2))+(((H105-H104)/2)*I104)</f>
        <v>1.0166666666666671</v>
      </c>
      <c r="K104" s="25">
        <f t="shared" ref="K104:K122" si="34">E104</f>
        <v>-7.0000000000000007E-2</v>
      </c>
      <c r="L104" s="25">
        <f t="shared" ref="L104:L122" si="35">J104*K104</f>
        <v>-7.1166666666666697E-2</v>
      </c>
    </row>
    <row r="105" spans="1:13" s="25" customFormat="1" ht="14.5" customHeight="1" x14ac:dyDescent="0.35">
      <c r="A105" s="25">
        <v>3</v>
      </c>
      <c r="B105" s="25">
        <v>9</v>
      </c>
      <c r="C105" s="25">
        <f t="shared" si="31"/>
        <v>3.75</v>
      </c>
      <c r="D105" s="25">
        <v>1.06</v>
      </c>
      <c r="E105" s="25">
        <v>-0.12</v>
      </c>
      <c r="H105" s="25">
        <f t="shared" si="32"/>
        <v>3.75</v>
      </c>
      <c r="I105" s="25">
        <f t="shared" si="33"/>
        <v>1.06</v>
      </c>
      <c r="J105" s="25">
        <f>((H106-H104)/2)*I105</f>
        <v>0.17666666666666653</v>
      </c>
      <c r="K105" s="25">
        <f t="shared" si="34"/>
        <v>-0.12</v>
      </c>
      <c r="L105" s="25">
        <f t="shared" si="35"/>
        <v>-2.1199999999999983E-2</v>
      </c>
    </row>
    <row r="106" spans="1:13" s="25" customFormat="1" ht="14.5" customHeight="1" x14ac:dyDescent="0.35">
      <c r="A106" s="25">
        <v>3</v>
      </c>
      <c r="B106" s="25">
        <v>11</v>
      </c>
      <c r="C106" s="25">
        <f t="shared" si="31"/>
        <v>3.9166666666666665</v>
      </c>
      <c r="D106" s="25">
        <v>1.31</v>
      </c>
      <c r="E106" s="25">
        <v>0.11</v>
      </c>
      <c r="H106" s="25">
        <f t="shared" si="32"/>
        <v>3.9166666666666665</v>
      </c>
      <c r="I106" s="25">
        <f t="shared" si="33"/>
        <v>1.31</v>
      </c>
      <c r="J106" s="25">
        <f>(((H107-H105)/2)*I106)+(((H107-H106)/2)*I107)</f>
        <v>2.2616666666666676</v>
      </c>
      <c r="K106" s="25">
        <f t="shared" si="34"/>
        <v>0.11</v>
      </c>
      <c r="L106" s="25">
        <f t="shared" si="35"/>
        <v>0.24878333333333344</v>
      </c>
    </row>
    <row r="107" spans="1:13" s="25" customFormat="1" ht="14.5" customHeight="1" x14ac:dyDescent="0.35">
      <c r="A107" s="25">
        <v>5</v>
      </c>
      <c r="B107" s="25">
        <v>5</v>
      </c>
      <c r="C107" s="25">
        <f t="shared" si="31"/>
        <v>5.416666666666667</v>
      </c>
      <c r="D107" s="25">
        <v>1.56</v>
      </c>
      <c r="F107" s="25" t="s">
        <v>20</v>
      </c>
      <c r="H107" s="25">
        <f t="shared" si="32"/>
        <v>5.416666666666667</v>
      </c>
      <c r="I107" s="25">
        <f t="shared" si="33"/>
        <v>1.56</v>
      </c>
      <c r="L107" s="25">
        <f t="shared" si="35"/>
        <v>0</v>
      </c>
    </row>
    <row r="108" spans="1:13" s="25" customFormat="1" ht="14.5" customHeight="1" x14ac:dyDescent="0.35">
      <c r="A108" s="25">
        <v>6</v>
      </c>
      <c r="B108" s="25">
        <v>1</v>
      </c>
      <c r="C108" s="25">
        <f>A108+(B108/12)</f>
        <v>6.083333333333333</v>
      </c>
      <c r="D108" s="25">
        <v>1.74</v>
      </c>
      <c r="E108" s="25">
        <v>0.3</v>
      </c>
      <c r="H108" s="25">
        <f t="shared" si="32"/>
        <v>6.083333333333333</v>
      </c>
      <c r="I108" s="25">
        <f t="shared" si="33"/>
        <v>1.74</v>
      </c>
      <c r="J108" s="25">
        <f>((H108-H107)*((I107+I108)/2))+(((H109-H108)/2)*I108)</f>
        <v>1.534999999999999</v>
      </c>
      <c r="K108" s="25">
        <f t="shared" si="34"/>
        <v>0.3</v>
      </c>
      <c r="L108" s="25">
        <f t="shared" si="35"/>
        <v>0.46049999999999969</v>
      </c>
    </row>
    <row r="109" spans="1:13" s="25" customFormat="1" ht="14.5" customHeight="1" x14ac:dyDescent="0.35">
      <c r="A109" s="25">
        <v>6</v>
      </c>
      <c r="B109" s="25">
        <v>7</v>
      </c>
      <c r="C109" s="25">
        <f t="shared" si="31"/>
        <v>6.583333333333333</v>
      </c>
      <c r="D109" s="25">
        <v>1.77</v>
      </c>
      <c r="E109" s="25">
        <v>0.4</v>
      </c>
      <c r="H109" s="25">
        <f t="shared" si="32"/>
        <v>6.583333333333333</v>
      </c>
      <c r="I109" s="25">
        <f t="shared" si="33"/>
        <v>1.77</v>
      </c>
      <c r="J109" s="25">
        <f>(((H109-H108)/2)+(H110-H109))*I109</f>
        <v>1.9175000000000011</v>
      </c>
      <c r="K109" s="25">
        <f t="shared" si="34"/>
        <v>0.4</v>
      </c>
      <c r="L109" s="25">
        <f t="shared" si="35"/>
        <v>0.76700000000000046</v>
      </c>
    </row>
    <row r="110" spans="1:13" s="25" customFormat="1" ht="14.5" customHeight="1" x14ac:dyDescent="0.35">
      <c r="A110" s="25">
        <v>7</v>
      </c>
      <c r="B110" s="25">
        <v>5</v>
      </c>
      <c r="C110" s="25">
        <f t="shared" si="31"/>
        <v>7.416666666666667</v>
      </c>
      <c r="F110" s="25" t="s">
        <v>20</v>
      </c>
      <c r="H110" s="25">
        <f t="shared" si="32"/>
        <v>7.416666666666667</v>
      </c>
      <c r="L110" s="25">
        <f t="shared" si="35"/>
        <v>0</v>
      </c>
    </row>
    <row r="111" spans="1:13" s="25" customFormat="1" ht="14.5" customHeight="1" x14ac:dyDescent="0.35">
      <c r="A111" s="25">
        <v>7</v>
      </c>
      <c r="B111" s="25">
        <v>8</v>
      </c>
      <c r="C111" s="25">
        <f t="shared" si="31"/>
        <v>7.666666666666667</v>
      </c>
      <c r="D111" s="25">
        <v>2</v>
      </c>
      <c r="E111" s="25">
        <v>0.8</v>
      </c>
      <c r="H111" s="25">
        <f t="shared" si="32"/>
        <v>7.666666666666667</v>
      </c>
      <c r="I111" s="25">
        <f t="shared" si="33"/>
        <v>2</v>
      </c>
      <c r="J111" s="25">
        <f>(((H111-H110)+((H112-H111)/2))*I111)+(((H112-H111)/2)*I112)</f>
        <v>3.4333333333333327</v>
      </c>
      <c r="K111" s="25">
        <f t="shared" si="34"/>
        <v>0.8</v>
      </c>
      <c r="L111" s="25">
        <f t="shared" si="35"/>
        <v>2.7466666666666661</v>
      </c>
    </row>
    <row r="112" spans="1:13" s="25" customFormat="1" ht="14.5" customHeight="1" x14ac:dyDescent="0.35">
      <c r="A112" s="25">
        <v>9</v>
      </c>
      <c r="B112" s="25">
        <v>0</v>
      </c>
      <c r="C112" s="25">
        <f t="shared" si="31"/>
        <v>9</v>
      </c>
      <c r="D112" s="25">
        <v>2.4</v>
      </c>
      <c r="F112" s="25" t="s">
        <v>20</v>
      </c>
      <c r="H112" s="25">
        <f t="shared" si="32"/>
        <v>9</v>
      </c>
      <c r="I112" s="25">
        <f t="shared" si="33"/>
        <v>2.4</v>
      </c>
      <c r="L112" s="25">
        <f t="shared" si="35"/>
        <v>0</v>
      </c>
    </row>
    <row r="113" spans="1:13" s="25" customFormat="1" ht="14.5" customHeight="1" x14ac:dyDescent="0.35">
      <c r="A113" s="25">
        <v>10</v>
      </c>
      <c r="B113" s="25">
        <v>10</v>
      </c>
      <c r="C113" s="25">
        <f t="shared" si="31"/>
        <v>10.833333333333334</v>
      </c>
      <c r="D113" s="25">
        <v>2.85</v>
      </c>
      <c r="E113" s="25">
        <v>1.31</v>
      </c>
      <c r="H113" s="25">
        <f t="shared" si="32"/>
        <v>10.833333333333334</v>
      </c>
      <c r="I113" s="25">
        <f t="shared" si="33"/>
        <v>2.85</v>
      </c>
      <c r="J113" s="25">
        <f>(((H113-H112)/2)*I112)+(((H114-H113)/2)*I113)</f>
        <v>3.5062499999999996</v>
      </c>
      <c r="K113" s="25">
        <f t="shared" si="34"/>
        <v>1.31</v>
      </c>
      <c r="L113" s="25">
        <f t="shared" si="35"/>
        <v>4.5931875</v>
      </c>
    </row>
    <row r="114" spans="1:13" s="25" customFormat="1" ht="14.5" customHeight="1" x14ac:dyDescent="0.35">
      <c r="A114" s="25">
        <v>11</v>
      </c>
      <c r="B114" s="25">
        <v>9</v>
      </c>
      <c r="C114" s="25">
        <f t="shared" si="31"/>
        <v>11.75</v>
      </c>
      <c r="D114" s="25">
        <v>3.06</v>
      </c>
      <c r="E114" s="25">
        <v>1.27</v>
      </c>
      <c r="H114" s="25">
        <f t="shared" si="32"/>
        <v>11.75</v>
      </c>
      <c r="I114" s="25">
        <f t="shared" si="33"/>
        <v>3.06</v>
      </c>
      <c r="J114" s="25">
        <f>(((H115-H113)/2)*I114)+(((H115-H114)/2)*I115)</f>
        <v>4.1799999999999979</v>
      </c>
      <c r="K114" s="25">
        <f t="shared" si="34"/>
        <v>1.27</v>
      </c>
      <c r="L114" s="25">
        <f t="shared" si="35"/>
        <v>5.3085999999999975</v>
      </c>
    </row>
    <row r="115" spans="1:13" s="25" customFormat="1" ht="14.5" customHeight="1" x14ac:dyDescent="0.35">
      <c r="A115" s="25">
        <v>12</v>
      </c>
      <c r="B115" s="25">
        <v>8</v>
      </c>
      <c r="C115" s="25">
        <f t="shared" si="31"/>
        <v>12.666666666666666</v>
      </c>
      <c r="D115" s="25">
        <v>3</v>
      </c>
      <c r="F115" s="25" t="s">
        <v>20</v>
      </c>
      <c r="H115" s="25">
        <f t="shared" si="32"/>
        <v>12.666666666666666</v>
      </c>
      <c r="I115" s="25">
        <f t="shared" si="33"/>
        <v>3</v>
      </c>
      <c r="L115" s="25">
        <f t="shared" si="35"/>
        <v>0</v>
      </c>
    </row>
    <row r="116" spans="1:13" s="25" customFormat="1" ht="14.5" customHeight="1" x14ac:dyDescent="0.35">
      <c r="A116" s="25">
        <v>13</v>
      </c>
      <c r="B116" s="25">
        <v>0</v>
      </c>
      <c r="C116" s="25">
        <f t="shared" si="31"/>
        <v>13</v>
      </c>
      <c r="D116" s="25">
        <v>2.86</v>
      </c>
      <c r="E116" s="25">
        <v>0.21</v>
      </c>
      <c r="H116" s="25">
        <f t="shared" si="32"/>
        <v>13</v>
      </c>
      <c r="I116" s="25">
        <f t="shared" si="33"/>
        <v>2.86</v>
      </c>
      <c r="J116" s="25">
        <f>(((H116-H115)/2)*I115)+(((H117-H115)/2)*I116)+(((H117-H116)/2)*I117)</f>
        <v>2.1766666666666667</v>
      </c>
      <c r="K116" s="25">
        <f t="shared" si="34"/>
        <v>0.21</v>
      </c>
      <c r="L116" s="25">
        <f t="shared" si="35"/>
        <v>0.45710000000000001</v>
      </c>
    </row>
    <row r="117" spans="1:13" s="25" customFormat="1" ht="14.5" customHeight="1" x14ac:dyDescent="0.35">
      <c r="A117" s="25">
        <v>13</v>
      </c>
      <c r="B117" s="25">
        <v>5</v>
      </c>
      <c r="C117" s="25">
        <f t="shared" si="31"/>
        <v>13.416666666666666</v>
      </c>
      <c r="D117" s="25">
        <v>2.9</v>
      </c>
      <c r="F117" s="25" t="s">
        <v>20</v>
      </c>
      <c r="H117" s="25">
        <f t="shared" si="32"/>
        <v>13.416666666666666</v>
      </c>
      <c r="I117" s="25">
        <f t="shared" si="33"/>
        <v>2.9</v>
      </c>
      <c r="L117" s="25">
        <f t="shared" si="35"/>
        <v>0</v>
      </c>
    </row>
    <row r="118" spans="1:13" s="25" customFormat="1" ht="14.5" customHeight="1" x14ac:dyDescent="0.35">
      <c r="A118" s="25">
        <v>14</v>
      </c>
      <c r="B118" s="25">
        <v>0</v>
      </c>
      <c r="C118" s="25">
        <f t="shared" si="31"/>
        <v>14</v>
      </c>
      <c r="D118" s="25">
        <v>0.6</v>
      </c>
      <c r="E118" s="25">
        <v>-0.02</v>
      </c>
      <c r="H118" s="25">
        <f t="shared" si="32"/>
        <v>14</v>
      </c>
      <c r="I118" s="25">
        <f t="shared" si="33"/>
        <v>0.6</v>
      </c>
      <c r="J118" s="25">
        <f>(((H118-H117)/2)*I117)+(((H119-H117)/2)*I118)+(((H119-H118)/2)*I119)</f>
        <v>1.6208333333333345</v>
      </c>
      <c r="K118" s="25">
        <f t="shared" si="34"/>
        <v>-0.02</v>
      </c>
      <c r="L118" s="25">
        <f t="shared" si="35"/>
        <v>-3.2416666666666691E-2</v>
      </c>
    </row>
    <row r="119" spans="1:13" s="25" customFormat="1" ht="14.5" customHeight="1" x14ac:dyDescent="0.35">
      <c r="A119" s="25">
        <v>15</v>
      </c>
      <c r="B119" s="25">
        <v>0</v>
      </c>
      <c r="C119" s="25">
        <f t="shared" si="31"/>
        <v>15</v>
      </c>
      <c r="D119" s="25">
        <v>0.6</v>
      </c>
      <c r="F119" s="25" t="s">
        <v>20</v>
      </c>
      <c r="H119" s="25">
        <f t="shared" si="32"/>
        <v>15</v>
      </c>
      <c r="I119" s="25">
        <f t="shared" si="33"/>
        <v>0.6</v>
      </c>
      <c r="L119" s="25">
        <f t="shared" si="35"/>
        <v>0</v>
      </c>
    </row>
    <row r="120" spans="1:13" s="25" customFormat="1" ht="14.5" customHeight="1" x14ac:dyDescent="0.35">
      <c r="A120" s="25">
        <v>17</v>
      </c>
      <c r="B120" s="25">
        <v>0</v>
      </c>
      <c r="C120" s="25">
        <f t="shared" si="31"/>
        <v>17</v>
      </c>
      <c r="D120" s="25">
        <v>1.07</v>
      </c>
      <c r="E120" s="25">
        <v>-0.08</v>
      </c>
      <c r="H120" s="25">
        <f t="shared" si="32"/>
        <v>17</v>
      </c>
      <c r="I120" s="25">
        <f t="shared" si="33"/>
        <v>1.07</v>
      </c>
      <c r="J120" s="25">
        <f>(((H120-H119)/2)*I119)+(((H121-H119)/2)*I120)+(((H121-H120)/2)*I121)</f>
        <v>2.2616666666666658</v>
      </c>
      <c r="K120" s="25">
        <f t="shared" si="34"/>
        <v>-0.08</v>
      </c>
      <c r="L120" s="25">
        <f t="shared" si="35"/>
        <v>-0.18093333333333328</v>
      </c>
    </row>
    <row r="121" spans="1:13" s="25" customFormat="1" ht="14.5" customHeight="1" x14ac:dyDescent="0.35">
      <c r="A121" s="25">
        <v>17</v>
      </c>
      <c r="B121" s="25">
        <v>10</v>
      </c>
      <c r="C121" s="25">
        <f t="shared" si="31"/>
        <v>17.833333333333332</v>
      </c>
      <c r="D121" s="25">
        <v>0.35</v>
      </c>
      <c r="F121" s="25" t="s">
        <v>20</v>
      </c>
      <c r="H121" s="25">
        <f t="shared" si="32"/>
        <v>17.833333333333332</v>
      </c>
      <c r="I121" s="25">
        <f t="shared" si="33"/>
        <v>0.35</v>
      </c>
      <c r="L121" s="25">
        <f t="shared" si="35"/>
        <v>0</v>
      </c>
    </row>
    <row r="122" spans="1:13" s="25" customFormat="1" ht="14.5" customHeight="1" x14ac:dyDescent="0.35">
      <c r="A122" s="25">
        <v>18</v>
      </c>
      <c r="B122" s="25">
        <v>8</v>
      </c>
      <c r="C122" s="25">
        <f t="shared" si="31"/>
        <v>18.666666666666668</v>
      </c>
      <c r="D122" s="25">
        <v>0</v>
      </c>
      <c r="E122" s="25">
        <v>0</v>
      </c>
      <c r="F122" s="25" t="s">
        <v>36</v>
      </c>
      <c r="H122" s="25">
        <f t="shared" si="32"/>
        <v>18.666666666666668</v>
      </c>
      <c r="I122" s="25">
        <f t="shared" si="33"/>
        <v>0</v>
      </c>
      <c r="J122" s="25">
        <f>(H122-H121)*((I121+I122)/2)</f>
        <v>0.14583333333333373</v>
      </c>
      <c r="K122" s="25">
        <f t="shared" si="34"/>
        <v>0</v>
      </c>
      <c r="L122" s="25">
        <f t="shared" si="35"/>
        <v>0</v>
      </c>
      <c r="M122" s="25">
        <f>H122-H103</f>
        <v>15.750000000000002</v>
      </c>
    </row>
    <row r="124" spans="1:13" ht="14.5" customHeight="1" x14ac:dyDescent="0.35">
      <c r="A124" s="16" t="s">
        <v>97</v>
      </c>
      <c r="B124" s="24">
        <f>SUM(J103:J122)</f>
        <v>24.232083333333328</v>
      </c>
      <c r="C124" s="12" t="s">
        <v>101</v>
      </c>
      <c r="D124" s="18" t="s">
        <v>111</v>
      </c>
      <c r="E124" s="25">
        <v>113.35469999999999</v>
      </c>
      <c r="F124" s="12" t="s">
        <v>58</v>
      </c>
      <c r="G124" s="12" t="s">
        <v>121</v>
      </c>
      <c r="H124" s="20">
        <f>P6-(((T4f3_Flat_Level-Q6)/(Q5-Q6))*(P6-P5))</f>
        <v>2.7562433484504911</v>
      </c>
    </row>
    <row r="125" spans="1:13" ht="14.5" customHeight="1" x14ac:dyDescent="0.35">
      <c r="A125" s="12" t="s">
        <v>99</v>
      </c>
      <c r="B125" s="18">
        <f>SUM(L103:L122)</f>
        <v>14.276120833333332</v>
      </c>
      <c r="C125" s="12" t="s">
        <v>100</v>
      </c>
      <c r="D125" s="18" t="s">
        <v>94</v>
      </c>
      <c r="E125" s="12">
        <f>SUM(AC:AC)</f>
        <v>24.232813722222161</v>
      </c>
      <c r="F125" s="12" t="s">
        <v>101</v>
      </c>
      <c r="G125" s="12" t="s">
        <v>123</v>
      </c>
      <c r="H125" s="20">
        <f>P38+(((T4f3_Flat_Level-Q38)/(Q39-Q38))*(P39-P38))</f>
        <v>18.495782003968262</v>
      </c>
    </row>
    <row r="126" spans="1:13" ht="14.5" customHeight="1" x14ac:dyDescent="0.35">
      <c r="A126" s="12" t="s">
        <v>98</v>
      </c>
      <c r="B126" s="25">
        <f>B124/E127</f>
        <v>1.5395675733378849</v>
      </c>
      <c r="C126" s="12" t="s">
        <v>58</v>
      </c>
      <c r="D126" s="18" t="s">
        <v>112</v>
      </c>
      <c r="E126" s="25">
        <f>B124-E125</f>
        <v>-7.3038888883303343E-4</v>
      </c>
      <c r="F126" s="12" t="s">
        <v>101</v>
      </c>
      <c r="G126" s="12" t="s">
        <v>175</v>
      </c>
      <c r="H126" s="20">
        <f>H125-H124</f>
        <v>15.739538655517771</v>
      </c>
    </row>
    <row r="127" spans="1:13" ht="14.5" customHeight="1" x14ac:dyDescent="0.35">
      <c r="A127" s="12" t="s">
        <v>102</v>
      </c>
      <c r="B127" s="25">
        <f>B125/B124</f>
        <v>0.58914128995649717</v>
      </c>
      <c r="C127" s="12" t="s">
        <v>103</v>
      </c>
      <c r="D127" s="18" t="s">
        <v>127</v>
      </c>
      <c r="E127" s="12">
        <f>H126</f>
        <v>15.739538655517771</v>
      </c>
      <c r="F127" s="12" t="s">
        <v>58</v>
      </c>
      <c r="G127" s="12" t="s">
        <v>180</v>
      </c>
      <c r="H127" s="36">
        <f>H126/$D$150</f>
        <v>0.9515086340867166</v>
      </c>
    </row>
    <row r="129" spans="1:13" ht="14.5" customHeight="1" x14ac:dyDescent="0.35">
      <c r="A129" s="25" t="s">
        <v>145</v>
      </c>
      <c r="B129" s="12"/>
      <c r="C129" s="17" t="s">
        <v>13</v>
      </c>
      <c r="D129" s="17" t="s">
        <v>29</v>
      </c>
      <c r="E129" s="12" t="s">
        <v>7</v>
      </c>
      <c r="F129" s="12" t="s">
        <v>3</v>
      </c>
      <c r="G129" s="12"/>
      <c r="H129" s="12" t="s">
        <v>96</v>
      </c>
      <c r="I129" s="12" t="s">
        <v>6</v>
      </c>
      <c r="J129" s="12" t="s">
        <v>94</v>
      </c>
      <c r="K129" s="12" t="s">
        <v>7</v>
      </c>
      <c r="L129" s="12" t="s">
        <v>95</v>
      </c>
      <c r="M129" s="25" t="s">
        <v>127</v>
      </c>
    </row>
    <row r="130" spans="1:13" s="25" customFormat="1" ht="14.5" customHeight="1" x14ac:dyDescent="0.35">
      <c r="A130" s="25">
        <v>3</v>
      </c>
      <c r="B130" s="25">
        <v>0</v>
      </c>
      <c r="C130" s="25">
        <f t="shared" ref="C130:C143" si="36">A130+(B130/12)</f>
        <v>3</v>
      </c>
      <c r="D130" s="25">
        <v>1.63</v>
      </c>
      <c r="E130" s="25">
        <v>0</v>
      </c>
      <c r="H130" s="25">
        <f t="shared" ref="H130:H143" si="37">C130</f>
        <v>3</v>
      </c>
      <c r="I130" s="25">
        <f t="shared" ref="I130:I142" si="38">D130</f>
        <v>1.63</v>
      </c>
      <c r="J130" s="25">
        <f>((H131-H130)/2)*I130</f>
        <v>0.61124999999999996</v>
      </c>
      <c r="K130" s="25">
        <f t="shared" ref="K130:K142" si="39">E130</f>
        <v>0</v>
      </c>
      <c r="L130" s="25">
        <f>J130*K130</f>
        <v>0</v>
      </c>
    </row>
    <row r="131" spans="1:13" s="25" customFormat="1" ht="14.5" customHeight="1" x14ac:dyDescent="0.35">
      <c r="A131" s="25">
        <v>3</v>
      </c>
      <c r="B131" s="25">
        <v>9</v>
      </c>
      <c r="C131" s="25">
        <f t="shared" si="36"/>
        <v>3.75</v>
      </c>
      <c r="D131" s="25">
        <v>1.63</v>
      </c>
      <c r="E131" s="25">
        <v>-0.23</v>
      </c>
      <c r="H131" s="25">
        <f t="shared" si="37"/>
        <v>3.75</v>
      </c>
      <c r="I131" s="25">
        <f t="shared" si="38"/>
        <v>1.63</v>
      </c>
      <c r="J131" s="25">
        <f>((H132-H130)/2)*I131</f>
        <v>1.6979166666666663</v>
      </c>
      <c r="K131" s="25">
        <f t="shared" si="39"/>
        <v>-0.23</v>
      </c>
      <c r="L131" s="25">
        <f t="shared" ref="L131:L143" si="40">J131*K131</f>
        <v>-0.39052083333333326</v>
      </c>
    </row>
    <row r="132" spans="1:13" s="25" customFormat="1" ht="14.5" customHeight="1" x14ac:dyDescent="0.35">
      <c r="A132" s="25">
        <v>5</v>
      </c>
      <c r="B132" s="25">
        <v>1</v>
      </c>
      <c r="C132" s="25">
        <f t="shared" si="36"/>
        <v>5.083333333333333</v>
      </c>
      <c r="D132" s="25">
        <v>1.5</v>
      </c>
      <c r="E132" s="25">
        <v>-0.15</v>
      </c>
      <c r="H132" s="25">
        <f t="shared" si="37"/>
        <v>5.083333333333333</v>
      </c>
      <c r="I132" s="25">
        <f t="shared" si="38"/>
        <v>1.5</v>
      </c>
      <c r="J132" s="25">
        <f t="shared" ref="J132:J133" si="41">((H133-H131)/2)*I132</f>
        <v>2.125</v>
      </c>
      <c r="K132" s="25">
        <f t="shared" si="39"/>
        <v>-0.15</v>
      </c>
      <c r="L132" s="25">
        <f t="shared" si="40"/>
        <v>-0.31874999999999998</v>
      </c>
    </row>
    <row r="133" spans="1:13" s="25" customFormat="1" ht="14.5" customHeight="1" x14ac:dyDescent="0.35">
      <c r="A133" s="25">
        <v>6</v>
      </c>
      <c r="B133" s="25">
        <v>7</v>
      </c>
      <c r="C133" s="25">
        <f t="shared" si="36"/>
        <v>6.583333333333333</v>
      </c>
      <c r="D133" s="25">
        <v>1.63</v>
      </c>
      <c r="E133" s="25">
        <v>0.3</v>
      </c>
      <c r="H133" s="25">
        <f t="shared" si="37"/>
        <v>6.583333333333333</v>
      </c>
      <c r="I133" s="25">
        <f t="shared" si="38"/>
        <v>1.63</v>
      </c>
      <c r="J133" s="25">
        <f t="shared" si="41"/>
        <v>3.3279166666666664</v>
      </c>
      <c r="K133" s="25">
        <f t="shared" si="39"/>
        <v>0.3</v>
      </c>
      <c r="L133" s="25">
        <f t="shared" si="40"/>
        <v>0.9983749999999999</v>
      </c>
    </row>
    <row r="134" spans="1:13" s="25" customFormat="1" ht="14.5" customHeight="1" x14ac:dyDescent="0.35">
      <c r="A134" s="25">
        <v>9</v>
      </c>
      <c r="B134" s="25">
        <v>2</v>
      </c>
      <c r="C134" s="25">
        <f t="shared" si="36"/>
        <v>9.1666666666666661</v>
      </c>
      <c r="D134" s="25">
        <v>2.8</v>
      </c>
      <c r="E134" s="25">
        <v>1.61</v>
      </c>
      <c r="H134" s="25">
        <f t="shared" si="37"/>
        <v>9.1666666666666661</v>
      </c>
      <c r="I134" s="25">
        <f t="shared" si="38"/>
        <v>2.8</v>
      </c>
      <c r="J134" s="25">
        <f>(((H134-H133)/2)+(H135-H134))*I134</f>
        <v>6.6500000000000012</v>
      </c>
      <c r="K134" s="25">
        <f t="shared" si="39"/>
        <v>1.61</v>
      </c>
      <c r="L134" s="25">
        <f t="shared" si="40"/>
        <v>10.706500000000002</v>
      </c>
    </row>
    <row r="135" spans="1:13" s="25" customFormat="1" ht="14.5" customHeight="1" x14ac:dyDescent="0.35">
      <c r="A135" s="25">
        <v>10</v>
      </c>
      <c r="B135" s="25">
        <v>3</v>
      </c>
      <c r="C135" s="25">
        <f t="shared" si="36"/>
        <v>10.25</v>
      </c>
      <c r="F135" s="25" t="s">
        <v>37</v>
      </c>
      <c r="H135" s="25">
        <f t="shared" si="37"/>
        <v>10.25</v>
      </c>
      <c r="L135" s="25">
        <f t="shared" si="40"/>
        <v>0</v>
      </c>
    </row>
    <row r="136" spans="1:13" s="25" customFormat="1" ht="14.5" customHeight="1" x14ac:dyDescent="0.35">
      <c r="A136" s="25">
        <v>10</v>
      </c>
      <c r="B136" s="25">
        <v>10</v>
      </c>
      <c r="C136" s="25">
        <f t="shared" si="36"/>
        <v>10.833333333333334</v>
      </c>
      <c r="D136" s="25">
        <v>3.2</v>
      </c>
      <c r="E136" s="25">
        <v>2.56</v>
      </c>
      <c r="H136" s="25">
        <f t="shared" si="37"/>
        <v>10.833333333333334</v>
      </c>
      <c r="I136" s="25">
        <f t="shared" si="38"/>
        <v>3.2</v>
      </c>
      <c r="J136" s="25">
        <f>(H137-H135)*I136</f>
        <v>3.7333333333333316</v>
      </c>
      <c r="K136" s="25">
        <f t="shared" si="39"/>
        <v>2.56</v>
      </c>
      <c r="L136" s="25">
        <f t="shared" si="40"/>
        <v>9.5573333333333288</v>
      </c>
    </row>
    <row r="137" spans="1:13" s="25" customFormat="1" ht="14.5" customHeight="1" x14ac:dyDescent="0.35">
      <c r="A137" s="25">
        <v>11</v>
      </c>
      <c r="B137" s="25">
        <v>5</v>
      </c>
      <c r="C137" s="25">
        <f t="shared" si="36"/>
        <v>11.416666666666666</v>
      </c>
      <c r="F137" s="25" t="s">
        <v>20</v>
      </c>
      <c r="H137" s="25">
        <f t="shared" si="37"/>
        <v>11.416666666666666</v>
      </c>
      <c r="L137" s="25">
        <f t="shared" si="40"/>
        <v>0</v>
      </c>
    </row>
    <row r="138" spans="1:13" s="25" customFormat="1" ht="14.5" customHeight="1" x14ac:dyDescent="0.35">
      <c r="A138" s="25">
        <v>11</v>
      </c>
      <c r="B138" s="25">
        <v>9</v>
      </c>
      <c r="C138" s="25">
        <f t="shared" si="36"/>
        <v>11.75</v>
      </c>
      <c r="D138" s="25">
        <v>3.3</v>
      </c>
      <c r="E138" s="25">
        <v>2.4</v>
      </c>
      <c r="H138" s="25">
        <f t="shared" si="37"/>
        <v>11.75</v>
      </c>
      <c r="I138" s="25">
        <f t="shared" si="38"/>
        <v>3.3</v>
      </c>
      <c r="J138" s="25">
        <f>(H139-H137)*I138</f>
        <v>5.7749999999999995</v>
      </c>
      <c r="K138" s="25">
        <f t="shared" si="39"/>
        <v>2.4</v>
      </c>
      <c r="L138" s="25">
        <f t="shared" si="40"/>
        <v>13.859999999999998</v>
      </c>
    </row>
    <row r="139" spans="1:13" s="25" customFormat="1" ht="14.5" customHeight="1" x14ac:dyDescent="0.35">
      <c r="A139" s="25">
        <v>13</v>
      </c>
      <c r="B139" s="25">
        <v>2</v>
      </c>
      <c r="C139" s="25">
        <f t="shared" si="36"/>
        <v>13.166666666666666</v>
      </c>
      <c r="F139" s="25" t="s">
        <v>20</v>
      </c>
      <c r="H139" s="25">
        <f t="shared" si="37"/>
        <v>13.166666666666666</v>
      </c>
      <c r="L139" s="25">
        <f t="shared" si="40"/>
        <v>0</v>
      </c>
    </row>
    <row r="140" spans="1:13" s="25" customFormat="1" ht="14.5" customHeight="1" x14ac:dyDescent="0.35">
      <c r="A140" s="25">
        <v>13</v>
      </c>
      <c r="B140" s="25">
        <v>9</v>
      </c>
      <c r="C140" s="25">
        <f t="shared" si="36"/>
        <v>13.75</v>
      </c>
      <c r="D140" s="25">
        <v>1</v>
      </c>
      <c r="E140" s="25">
        <v>-0.08</v>
      </c>
      <c r="H140" s="25">
        <f t="shared" si="37"/>
        <v>13.75</v>
      </c>
      <c r="I140" s="25">
        <f t="shared" si="38"/>
        <v>1</v>
      </c>
      <c r="J140" s="25">
        <f>((H140-H139)+((H141-H140)/2))*I140</f>
        <v>1.6250000000000009</v>
      </c>
      <c r="K140" s="25">
        <f t="shared" si="39"/>
        <v>-0.08</v>
      </c>
      <c r="L140" s="25">
        <f t="shared" si="40"/>
        <v>-0.13000000000000006</v>
      </c>
    </row>
    <row r="141" spans="1:13" s="25" customFormat="1" ht="14.5" customHeight="1" x14ac:dyDescent="0.35">
      <c r="A141" s="25">
        <v>15</v>
      </c>
      <c r="B141" s="25">
        <v>10</v>
      </c>
      <c r="C141" s="25">
        <f t="shared" si="36"/>
        <v>15.833333333333334</v>
      </c>
      <c r="D141" s="25">
        <v>1.1000000000000001</v>
      </c>
      <c r="E141" s="25">
        <v>-0.28000000000000003</v>
      </c>
      <c r="H141" s="25">
        <f t="shared" si="37"/>
        <v>15.833333333333334</v>
      </c>
      <c r="I141" s="25">
        <f t="shared" si="38"/>
        <v>1.1000000000000001</v>
      </c>
      <c r="J141" s="25">
        <f>((H142-H140)/2)*I141</f>
        <v>1.6041666666666674</v>
      </c>
      <c r="K141" s="25">
        <f t="shared" si="39"/>
        <v>-0.28000000000000003</v>
      </c>
      <c r="L141" s="25">
        <f t="shared" si="40"/>
        <v>-0.44916666666666694</v>
      </c>
    </row>
    <row r="142" spans="1:13" s="25" customFormat="1" ht="14.5" customHeight="1" x14ac:dyDescent="0.35">
      <c r="A142" s="25">
        <v>16</v>
      </c>
      <c r="B142" s="25">
        <v>8</v>
      </c>
      <c r="C142" s="25">
        <f t="shared" si="36"/>
        <v>16.666666666666668</v>
      </c>
      <c r="D142" s="25">
        <v>1.2</v>
      </c>
      <c r="E142" s="25">
        <v>-0.45</v>
      </c>
      <c r="H142" s="25">
        <f t="shared" si="37"/>
        <v>16.666666666666668</v>
      </c>
      <c r="I142" s="25">
        <f t="shared" si="38"/>
        <v>1.2</v>
      </c>
      <c r="J142" s="25">
        <f>((H143-H141)/2)*I142</f>
        <v>1.7999999999999989</v>
      </c>
      <c r="K142" s="25">
        <f t="shared" si="39"/>
        <v>-0.45</v>
      </c>
      <c r="L142" s="25">
        <f t="shared" si="40"/>
        <v>-0.8099999999999995</v>
      </c>
    </row>
    <row r="143" spans="1:13" s="25" customFormat="1" ht="14.5" customHeight="1" x14ac:dyDescent="0.35">
      <c r="A143" s="25">
        <v>18</v>
      </c>
      <c r="B143" s="25">
        <v>10</v>
      </c>
      <c r="C143" s="25">
        <f t="shared" si="36"/>
        <v>18.833333333333332</v>
      </c>
      <c r="F143" s="25" t="s">
        <v>36</v>
      </c>
      <c r="H143" s="25">
        <f t="shared" si="37"/>
        <v>18.833333333333332</v>
      </c>
      <c r="L143" s="25">
        <f t="shared" si="40"/>
        <v>0</v>
      </c>
      <c r="M143" s="25">
        <f>H143-H130</f>
        <v>15.833333333333332</v>
      </c>
    </row>
    <row r="144" spans="1:13" s="25" customFormat="1" ht="14.5" customHeight="1" x14ac:dyDescent="0.35"/>
    <row r="145" spans="1:8" ht="14.5" customHeight="1" x14ac:dyDescent="0.35">
      <c r="A145" s="16" t="s">
        <v>97</v>
      </c>
      <c r="B145" s="24">
        <f>SUM(J130:J143)</f>
        <v>28.949583333333329</v>
      </c>
      <c r="C145" s="12" t="s">
        <v>101</v>
      </c>
      <c r="D145" s="18" t="s">
        <v>111</v>
      </c>
      <c r="E145" s="25">
        <v>113.6602</v>
      </c>
      <c r="F145" s="12" t="s">
        <v>58</v>
      </c>
      <c r="G145" s="12" t="s">
        <v>121</v>
      </c>
      <c r="H145" s="20">
        <f>P6-(((T4F4_Flat_Level-Q6)/(Q5-Q6))*(P6-P5))</f>
        <v>2.686968972033255</v>
      </c>
    </row>
    <row r="146" spans="1:8" ht="14.5" customHeight="1" x14ac:dyDescent="0.35">
      <c r="A146" s="12" t="s">
        <v>99</v>
      </c>
      <c r="B146" s="18">
        <f>SUM(L130:L143)</f>
        <v>33.023770833333323</v>
      </c>
      <c r="C146" s="12" t="s">
        <v>100</v>
      </c>
      <c r="D146" s="18" t="s">
        <v>94</v>
      </c>
      <c r="E146" s="12">
        <f>SUM(AG:AG)</f>
        <v>28.948797138888978</v>
      </c>
      <c r="F146" s="12" t="s">
        <v>101</v>
      </c>
      <c r="G146" s="12" t="s">
        <v>123</v>
      </c>
      <c r="H146" s="20">
        <f>P41+(((T4F4_Flat_Level-Q41)/(Q42-Q41))*(P42-P41))</f>
        <v>18.968579623015888</v>
      </c>
    </row>
    <row r="147" spans="1:8" ht="14.5" customHeight="1" x14ac:dyDescent="0.35">
      <c r="A147" s="12" t="s">
        <v>98</v>
      </c>
      <c r="B147" s="25">
        <f>B145/E148</f>
        <v>1.7780540238865223</v>
      </c>
      <c r="C147" s="12" t="s">
        <v>58</v>
      </c>
      <c r="D147" s="18" t="s">
        <v>112</v>
      </c>
      <c r="E147" s="25">
        <f>B145-E146</f>
        <v>7.8619444435190644E-4</v>
      </c>
      <c r="F147" s="12" t="s">
        <v>101</v>
      </c>
      <c r="G147" s="12" t="s">
        <v>175</v>
      </c>
      <c r="H147" s="20">
        <f>H146-H145</f>
        <v>16.281610650982632</v>
      </c>
    </row>
    <row r="148" spans="1:8" ht="14.5" customHeight="1" x14ac:dyDescent="0.35">
      <c r="A148" s="12" t="s">
        <v>102</v>
      </c>
      <c r="B148" s="25">
        <f>B146/B145</f>
        <v>1.1407338908159297</v>
      </c>
      <c r="C148" s="12" t="s">
        <v>103</v>
      </c>
      <c r="D148" s="18" t="s">
        <v>127</v>
      </c>
      <c r="E148" s="12">
        <f>H147</f>
        <v>16.281610650982632</v>
      </c>
      <c r="F148" s="12" t="s">
        <v>58</v>
      </c>
      <c r="G148" s="12" t="s">
        <v>180</v>
      </c>
      <c r="H148" s="36">
        <f>H147/$D$150</f>
        <v>0.98427872953043616</v>
      </c>
    </row>
    <row r="150" spans="1:8" ht="14.5" customHeight="1" x14ac:dyDescent="0.35">
      <c r="A150" s="12" t="s">
        <v>178</v>
      </c>
      <c r="B150" s="12">
        <v>16</v>
      </c>
      <c r="C150" s="12">
        <v>6.5</v>
      </c>
      <c r="D150" s="15">
        <f>B150+(C150/12)</f>
        <v>16.541666666666668</v>
      </c>
      <c r="E150" s="12" t="s">
        <v>58</v>
      </c>
    </row>
    <row r="151" spans="1:8" s="32" customFormat="1" ht="14.5" customHeight="1" x14ac:dyDescent="0.35">
      <c r="A151" s="12"/>
      <c r="B151" s="12"/>
      <c r="C151" s="12"/>
      <c r="D151" s="15"/>
      <c r="E151" s="12"/>
    </row>
    <row r="152" spans="1:8" ht="14.5" customHeight="1" x14ac:dyDescent="0.35">
      <c r="C152" s="15"/>
      <c r="D152" s="15" t="s">
        <v>70</v>
      </c>
      <c r="E152" s="12"/>
      <c r="F152" s="12" t="s">
        <v>71</v>
      </c>
    </row>
    <row r="153" spans="1:8" ht="14.5" customHeight="1" x14ac:dyDescent="0.35">
      <c r="C153" s="15"/>
      <c r="D153" s="15">
        <v>1</v>
      </c>
      <c r="E153" s="12" t="s">
        <v>69</v>
      </c>
      <c r="F153" s="12">
        <v>10</v>
      </c>
    </row>
    <row r="154" spans="1:8" ht="14.5" customHeight="1" x14ac:dyDescent="0.35">
      <c r="C154" s="15"/>
      <c r="D154" s="15">
        <v>1.5</v>
      </c>
      <c r="E154" s="12">
        <v>1</v>
      </c>
      <c r="F154" s="12">
        <f>F153+((F155-F153)*(($D154-$D153)/($D155-$D153)))</f>
        <v>15</v>
      </c>
    </row>
    <row r="155" spans="1:8" ht="14.5" customHeight="1" x14ac:dyDescent="0.35">
      <c r="C155" s="15"/>
      <c r="D155" s="15">
        <v>2</v>
      </c>
      <c r="E155" s="12" t="s">
        <v>69</v>
      </c>
      <c r="F155" s="12">
        <v>20</v>
      </c>
    </row>
    <row r="156" spans="1:8" ht="14.5" customHeight="1" x14ac:dyDescent="0.35">
      <c r="C156" s="15"/>
      <c r="D156" s="15">
        <v>2.33</v>
      </c>
      <c r="E156" s="12">
        <v>2</v>
      </c>
      <c r="F156" s="12">
        <f>F155+((F158-F155)*(($D156-$D155)/($D158-$D155)))</f>
        <v>23.3</v>
      </c>
    </row>
    <row r="157" spans="1:8" ht="14.5" customHeight="1" x14ac:dyDescent="0.35">
      <c r="C157" s="15"/>
      <c r="D157" s="15">
        <v>2.67</v>
      </c>
      <c r="E157" s="12">
        <v>2</v>
      </c>
      <c r="F157" s="12">
        <f>F155+((F158-F155)*(($D157-$D155)/($D158-$D155)))</f>
        <v>26.7</v>
      </c>
    </row>
    <row r="158" spans="1:8" ht="14.5" customHeight="1" x14ac:dyDescent="0.35">
      <c r="C158" s="15"/>
      <c r="D158" s="15">
        <v>3</v>
      </c>
      <c r="E158" s="12" t="s">
        <v>69</v>
      </c>
      <c r="F158" s="12">
        <v>30</v>
      </c>
    </row>
    <row r="159" spans="1:8" ht="14.5" customHeight="1" x14ac:dyDescent="0.35">
      <c r="C159" s="15"/>
      <c r="D159" s="15">
        <v>3.25</v>
      </c>
      <c r="E159" s="12">
        <v>3</v>
      </c>
      <c r="F159" s="12">
        <f>F158+((F162-F158)*(($D159-$D158)/($D162-$D158)))</f>
        <v>32.5</v>
      </c>
    </row>
    <row r="160" spans="1:8" ht="14.5" customHeight="1" x14ac:dyDescent="0.35">
      <c r="C160" s="15"/>
      <c r="D160" s="15">
        <v>3.5</v>
      </c>
      <c r="E160" s="12">
        <v>3</v>
      </c>
      <c r="F160" s="12">
        <f>F158+((F162-F158)*(($D160-$D158)/($D162-$D158)))</f>
        <v>35</v>
      </c>
    </row>
    <row r="161" spans="3:6" ht="14.5" customHeight="1" x14ac:dyDescent="0.35">
      <c r="C161" s="15"/>
      <c r="D161" s="15">
        <v>3.75</v>
      </c>
      <c r="E161" s="12">
        <v>3</v>
      </c>
      <c r="F161" s="12">
        <f>F158+((F162-F158)*(($D161-$D158)/($D162-$D158)))</f>
        <v>37.5</v>
      </c>
    </row>
    <row r="162" spans="3:6" ht="14.5" customHeight="1" x14ac:dyDescent="0.35">
      <c r="C162" s="15"/>
      <c r="D162" s="15">
        <v>4</v>
      </c>
      <c r="E162" s="12" t="s">
        <v>69</v>
      </c>
      <c r="F162" s="12">
        <v>40</v>
      </c>
    </row>
    <row r="163" spans="3:6" ht="14.5" customHeight="1" x14ac:dyDescent="0.35">
      <c r="C163" s="15"/>
      <c r="D163" s="15">
        <v>4.2</v>
      </c>
      <c r="E163" s="12">
        <v>4</v>
      </c>
      <c r="F163" s="12">
        <f>F162+((F167-F162)*(($D163-$D162)/($D167-$D162)))</f>
        <v>42</v>
      </c>
    </row>
    <row r="164" spans="3:6" ht="14.5" customHeight="1" x14ac:dyDescent="0.35">
      <c r="C164" s="15"/>
      <c r="D164" s="15">
        <v>4.4000000000000004</v>
      </c>
      <c r="E164" s="12">
        <v>4</v>
      </c>
      <c r="F164" s="12">
        <f>F162+((F167-F162)*(($D164-$D162)/($D167-$D162)))</f>
        <v>44</v>
      </c>
    </row>
    <row r="165" spans="3:6" ht="14.5" customHeight="1" x14ac:dyDescent="0.35">
      <c r="C165" s="15"/>
      <c r="D165" s="15">
        <v>4.5999999999999996</v>
      </c>
      <c r="E165" s="12">
        <v>4</v>
      </c>
      <c r="F165" s="12">
        <f>F162+((F167-F162)*(($D165-$D162)/($D167-$D162)))</f>
        <v>46</v>
      </c>
    </row>
    <row r="166" spans="3:6" ht="14.5" customHeight="1" x14ac:dyDescent="0.35">
      <c r="C166" s="15"/>
      <c r="D166" s="15">
        <v>4.8</v>
      </c>
      <c r="E166" s="12">
        <v>4</v>
      </c>
      <c r="F166" s="12">
        <f>F162+((F167-F162)*(($D166-$D162)/($D167-$D162)))</f>
        <v>48</v>
      </c>
    </row>
    <row r="167" spans="3:6" ht="14.5" customHeight="1" x14ac:dyDescent="0.35">
      <c r="C167" s="15"/>
      <c r="D167" s="15">
        <v>5</v>
      </c>
      <c r="E167" s="12" t="s">
        <v>69</v>
      </c>
      <c r="F167" s="12">
        <v>50</v>
      </c>
    </row>
    <row r="168" spans="3:6" ht="14.5" customHeight="1" x14ac:dyDescent="0.35">
      <c r="C168" s="15"/>
      <c r="D168" s="15">
        <f>D167+(1/6)</f>
        <v>5.166666666666667</v>
      </c>
      <c r="E168" s="12">
        <v>5</v>
      </c>
      <c r="F168" s="12">
        <f>F167+((F173-F167)*(($D168-$D167)/($D173-$D167)))</f>
        <v>51.666666666666664</v>
      </c>
    </row>
    <row r="169" spans="3:6" ht="14.5" customHeight="1" x14ac:dyDescent="0.35">
      <c r="C169" s="15"/>
      <c r="D169" s="15">
        <f t="shared" ref="D169:D173" si="42">D168+(1/6)</f>
        <v>5.3333333333333339</v>
      </c>
      <c r="E169" s="12">
        <v>5</v>
      </c>
      <c r="F169" s="12">
        <f>F167+((F173-F167)*(($D169-$D167)/($D173-$D167)))</f>
        <v>53.333333333333336</v>
      </c>
    </row>
    <row r="170" spans="3:6" ht="14.5" customHeight="1" x14ac:dyDescent="0.35">
      <c r="C170" s="15"/>
      <c r="D170" s="15">
        <f t="shared" si="42"/>
        <v>5.5000000000000009</v>
      </c>
      <c r="E170" s="12">
        <v>5</v>
      </c>
      <c r="F170" s="12">
        <f>F167+((F173-F167)*(($D170-$D167)/($D173-$D167)))</f>
        <v>55</v>
      </c>
    </row>
    <row r="171" spans="3:6" ht="14.5" customHeight="1" x14ac:dyDescent="0.35">
      <c r="C171" s="15"/>
      <c r="D171" s="15">
        <f t="shared" si="42"/>
        <v>5.6666666666666679</v>
      </c>
      <c r="E171" s="12">
        <v>5</v>
      </c>
      <c r="F171" s="12">
        <f>F167+((F173-F167)*(($D171-$D167)/($D173-$D167)))</f>
        <v>56.666666666666664</v>
      </c>
    </row>
    <row r="172" spans="3:6" ht="14.5" customHeight="1" x14ac:dyDescent="0.35">
      <c r="C172" s="15"/>
      <c r="D172" s="15">
        <f t="shared" si="42"/>
        <v>5.8333333333333348</v>
      </c>
      <c r="E172" s="12">
        <v>5</v>
      </c>
      <c r="F172" s="12">
        <f>F167+((F173-F167)*(($D172-$D167)/($D173-$D167)))</f>
        <v>58.333333333333336</v>
      </c>
    </row>
    <row r="173" spans="3:6" ht="14.5" customHeight="1" x14ac:dyDescent="0.35">
      <c r="C173" s="15"/>
      <c r="D173" s="15">
        <f t="shared" si="42"/>
        <v>6.0000000000000018</v>
      </c>
      <c r="E173" s="12" t="s">
        <v>69</v>
      </c>
      <c r="F173" s="12">
        <v>60</v>
      </c>
    </row>
    <row r="174" spans="3:6" ht="14.5" customHeight="1" x14ac:dyDescent="0.35">
      <c r="C174" s="15"/>
      <c r="D174" s="15">
        <f>D173+(1/7)</f>
        <v>6.142857142857145</v>
      </c>
      <c r="E174" s="12">
        <v>6</v>
      </c>
      <c r="F174" s="12">
        <f>F173+((F180-F173)*(($D174-$D173)/($D180-$D173)))</f>
        <v>61.428571428571431</v>
      </c>
    </row>
    <row r="175" spans="3:6" ht="14.5" customHeight="1" x14ac:dyDescent="0.35">
      <c r="C175" s="15"/>
      <c r="D175" s="15">
        <f t="shared" ref="D175:D180" si="43">D174+(1/7)</f>
        <v>6.2857142857142883</v>
      </c>
      <c r="E175" s="12">
        <v>6</v>
      </c>
      <c r="F175" s="12">
        <f>F173+((F180-F173)*(($D175-$D173)/($D180-$D173)))</f>
        <v>62.857142857142854</v>
      </c>
    </row>
    <row r="176" spans="3:6" ht="14.5" customHeight="1" x14ac:dyDescent="0.35">
      <c r="C176" s="15"/>
      <c r="D176" s="15">
        <f t="shared" si="43"/>
        <v>6.4285714285714315</v>
      </c>
      <c r="E176" s="12">
        <v>6</v>
      </c>
      <c r="F176" s="12">
        <f>F173+((F180-F173)*(($D176-$D173)/($D180-$D173)))</f>
        <v>64.285714285714292</v>
      </c>
    </row>
    <row r="177" spans="3:6" ht="14.5" customHeight="1" x14ac:dyDescent="0.35">
      <c r="C177" s="15"/>
      <c r="D177" s="15">
        <f t="shared" si="43"/>
        <v>6.5714285714285747</v>
      </c>
      <c r="E177" s="12">
        <v>6</v>
      </c>
      <c r="F177" s="12">
        <f>F173+((F180-F173)*(($D177-$D173)/($D180-$D173)))</f>
        <v>65.714285714285708</v>
      </c>
    </row>
    <row r="178" spans="3:6" ht="14.5" customHeight="1" x14ac:dyDescent="0.35">
      <c r="C178" s="15"/>
      <c r="D178" s="15">
        <f t="shared" si="43"/>
        <v>6.714285714285718</v>
      </c>
      <c r="E178" s="12">
        <v>6</v>
      </c>
      <c r="F178" s="12">
        <f>F173+((F180-F173)*(($D178-$D173)/($D180-$D173)))</f>
        <v>67.142857142857139</v>
      </c>
    </row>
    <row r="179" spans="3:6" ht="14.5" customHeight="1" x14ac:dyDescent="0.35">
      <c r="C179" s="15"/>
      <c r="D179" s="15">
        <f t="shared" si="43"/>
        <v>6.8571428571428612</v>
      </c>
      <c r="E179" s="12">
        <v>6</v>
      </c>
      <c r="F179" s="12">
        <f>F173+((F180-F173)*(($D179-$D173)/($D180-$D173)))</f>
        <v>68.571428571428569</v>
      </c>
    </row>
    <row r="180" spans="3:6" ht="14.5" customHeight="1" x14ac:dyDescent="0.35">
      <c r="C180" s="15"/>
      <c r="D180" s="15">
        <f t="shared" si="43"/>
        <v>7.0000000000000044</v>
      </c>
      <c r="E180" s="12" t="s">
        <v>69</v>
      </c>
      <c r="F180" s="12">
        <v>70</v>
      </c>
    </row>
    <row r="181" spans="3:6" ht="14.5" customHeight="1" x14ac:dyDescent="0.35">
      <c r="C181" s="15"/>
      <c r="D181" s="15">
        <v>9</v>
      </c>
      <c r="E181" s="25" t="s">
        <v>69</v>
      </c>
      <c r="F181" s="25">
        <v>90</v>
      </c>
    </row>
    <row r="182" spans="3:6" ht="14.5" customHeight="1" x14ac:dyDescent="0.35">
      <c r="C182" s="15"/>
      <c r="D182" s="15">
        <f>D181+(1/11)</f>
        <v>9.0909090909090917</v>
      </c>
      <c r="E182" s="25">
        <v>10</v>
      </c>
      <c r="F182" s="12">
        <f>F181+((F192-F181)*(($D182-$D181)/($D192-$D181)))</f>
        <v>90.909090909090921</v>
      </c>
    </row>
    <row r="183" spans="3:6" ht="14.5" customHeight="1" x14ac:dyDescent="0.35">
      <c r="C183" s="15"/>
      <c r="D183" s="15">
        <f t="shared" ref="D183:D191" si="44">D182+(1/11)</f>
        <v>9.1818181818181834</v>
      </c>
      <c r="E183" s="25">
        <v>10</v>
      </c>
      <c r="F183" s="12">
        <f>F181+((F192-F181)*(($D183-$D181)/($D192-$D181)))</f>
        <v>91.818181818181841</v>
      </c>
    </row>
    <row r="184" spans="3:6" ht="14.5" customHeight="1" x14ac:dyDescent="0.35">
      <c r="C184" s="15"/>
      <c r="D184" s="15">
        <f t="shared" si="44"/>
        <v>9.2727272727272751</v>
      </c>
      <c r="E184" s="25">
        <v>10</v>
      </c>
      <c r="F184" s="12">
        <f>F181+((F192-F181)*(($D184-$D181)/($D192-$D181)))</f>
        <v>92.727272727272748</v>
      </c>
    </row>
    <row r="185" spans="3:6" ht="14.5" customHeight="1" x14ac:dyDescent="0.35">
      <c r="C185" s="15"/>
      <c r="D185" s="15">
        <f t="shared" si="44"/>
        <v>9.3636363636363669</v>
      </c>
      <c r="E185" s="25">
        <v>10</v>
      </c>
      <c r="F185" s="12">
        <f>F181+((F192-F181)*(($D185-$D181)/($D192-$D181)))</f>
        <v>93.636363636363669</v>
      </c>
    </row>
    <row r="186" spans="3:6" ht="14.5" customHeight="1" x14ac:dyDescent="0.35">
      <c r="C186" s="15"/>
      <c r="D186" s="15">
        <f t="shared" si="44"/>
        <v>9.4545454545454586</v>
      </c>
      <c r="E186" s="25">
        <v>10</v>
      </c>
      <c r="F186" s="12">
        <f>F181+((F192-F181)*(($D186-$D181)/($D192-$D181)))</f>
        <v>94.545454545454589</v>
      </c>
    </row>
    <row r="187" spans="3:6" ht="14.5" customHeight="1" x14ac:dyDescent="0.35">
      <c r="C187" s="15"/>
      <c r="D187" s="15">
        <f t="shared" si="44"/>
        <v>9.5454545454545503</v>
      </c>
      <c r="E187" s="25">
        <v>10</v>
      </c>
      <c r="F187" s="12">
        <f>F181+((F192-F181)*(($D187-$D181)/($D192-$D181)))</f>
        <v>95.454545454545496</v>
      </c>
    </row>
    <row r="188" spans="3:6" ht="14.5" customHeight="1" x14ac:dyDescent="0.35">
      <c r="C188" s="15"/>
      <c r="D188" s="15">
        <f t="shared" si="44"/>
        <v>9.636363636363642</v>
      </c>
      <c r="E188" s="25">
        <v>10</v>
      </c>
      <c r="F188" s="12">
        <f>F181+((F192-F181)*(($D188-$D181)/($D192-$D181)))</f>
        <v>96.363636363636417</v>
      </c>
    </row>
    <row r="189" spans="3:6" ht="14.5" customHeight="1" x14ac:dyDescent="0.35">
      <c r="C189" s="15"/>
      <c r="D189" s="15">
        <f t="shared" si="44"/>
        <v>9.7272727272727337</v>
      </c>
      <c r="E189" s="25">
        <v>10</v>
      </c>
      <c r="F189" s="12">
        <f>F181+((F192-F181)*(($D189-$D181)/($D192-$D181)))</f>
        <v>97.272727272727337</v>
      </c>
    </row>
    <row r="190" spans="3:6" ht="14.5" customHeight="1" x14ac:dyDescent="0.35">
      <c r="C190" s="15"/>
      <c r="D190" s="15">
        <f t="shared" si="44"/>
        <v>9.8181818181818254</v>
      </c>
      <c r="E190" s="25">
        <v>10</v>
      </c>
      <c r="F190" s="12">
        <f>F181+((F192-F181)*(($D190-$D181)/($D192-$D181)))</f>
        <v>98.181818181818258</v>
      </c>
    </row>
    <row r="191" spans="3:6" ht="14.5" customHeight="1" x14ac:dyDescent="0.35">
      <c r="C191" s="15"/>
      <c r="D191" s="15">
        <f t="shared" si="44"/>
        <v>9.9090909090909172</v>
      </c>
      <c r="E191" s="25">
        <v>10</v>
      </c>
      <c r="F191" s="12">
        <f>F181+((F192-F181)*(($D191-$D181)/($D192-$D181)))</f>
        <v>99.090909090909179</v>
      </c>
    </row>
    <row r="192" spans="3:6" ht="14.5" customHeight="1" x14ac:dyDescent="0.35">
      <c r="C192" s="15"/>
      <c r="D192" s="15">
        <v>10</v>
      </c>
      <c r="E192" s="25" t="s">
        <v>69</v>
      </c>
      <c r="F192" s="25">
        <v>100</v>
      </c>
    </row>
  </sheetData>
  <printOptions horizontalCentered="1" gridLines="1"/>
  <pageMargins left="0.2" right="0.2" top="0.5" bottom="0.5" header="0.3" footer="0.3"/>
  <pageSetup scale="66" fitToHeight="0" orientation="portrait" r:id="rId1"/>
  <headerFooter>
    <oddHeader>&amp;L&amp;A&amp;R&amp;D &amp;T</oddHeader>
    <oddFooter>&amp;LPage &amp;P of &amp;N&amp;R&amp;Z&amp;F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workbookViewId="0">
      <selection activeCell="G20" sqref="G20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1</v>
      </c>
      <c r="F1" s="21" t="s">
        <v>15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3</v>
      </c>
      <c r="B3" s="21">
        <v>0</v>
      </c>
      <c r="C3" s="21">
        <f t="shared" ref="C3:C17" si="0">A3+(B3/12)</f>
        <v>3</v>
      </c>
      <c r="D3" s="21">
        <v>0.9</v>
      </c>
      <c r="E3" s="21">
        <v>0</v>
      </c>
    </row>
    <row r="4" spans="1:6" ht="14.5" customHeight="1" x14ac:dyDescent="0.35">
      <c r="A4" s="21">
        <v>3</v>
      </c>
      <c r="B4" s="21">
        <v>9</v>
      </c>
      <c r="C4" s="21">
        <f t="shared" si="0"/>
        <v>3.75</v>
      </c>
      <c r="D4" s="21">
        <v>1</v>
      </c>
      <c r="E4" s="21">
        <v>0</v>
      </c>
      <c r="F4" s="21" t="s">
        <v>37</v>
      </c>
    </row>
    <row r="5" spans="1:6" ht="14.5" customHeight="1" x14ac:dyDescent="0.35">
      <c r="A5" s="21">
        <v>3</v>
      </c>
      <c r="B5" s="21">
        <v>9</v>
      </c>
      <c r="C5" s="21">
        <f t="shared" si="0"/>
        <v>3.75</v>
      </c>
      <c r="D5" s="21">
        <v>0.83</v>
      </c>
      <c r="E5" s="21">
        <v>0.1</v>
      </c>
    </row>
    <row r="6" spans="1:6" ht="14.5" customHeight="1" x14ac:dyDescent="0.35">
      <c r="A6" s="21">
        <v>5</v>
      </c>
      <c r="B6" s="21">
        <v>1</v>
      </c>
      <c r="C6" s="21">
        <f t="shared" si="0"/>
        <v>5.083333333333333</v>
      </c>
      <c r="F6" s="21" t="s">
        <v>20</v>
      </c>
    </row>
    <row r="7" spans="1:6" ht="14.5" customHeight="1" x14ac:dyDescent="0.35">
      <c r="A7" s="21">
        <v>6</v>
      </c>
      <c r="B7" s="21">
        <v>7</v>
      </c>
      <c r="C7" s="21">
        <f t="shared" si="0"/>
        <v>6.583333333333333</v>
      </c>
      <c r="D7" s="21">
        <v>1.6</v>
      </c>
      <c r="E7" s="21">
        <v>0.2</v>
      </c>
    </row>
    <row r="8" spans="1:6" ht="14.5" customHeight="1" x14ac:dyDescent="0.35">
      <c r="A8" s="21">
        <v>7</v>
      </c>
      <c r="B8" s="21">
        <v>9</v>
      </c>
      <c r="C8" s="21">
        <f t="shared" si="0"/>
        <v>7.75</v>
      </c>
      <c r="F8" s="21" t="s">
        <v>20</v>
      </c>
    </row>
    <row r="9" spans="1:6" ht="14.5" customHeight="1" x14ac:dyDescent="0.35">
      <c r="A9" s="21">
        <v>9</v>
      </c>
      <c r="B9" s="21">
        <v>2</v>
      </c>
      <c r="C9" s="21">
        <f t="shared" si="0"/>
        <v>9.1666666666666661</v>
      </c>
      <c r="D9" s="21">
        <v>2.2999999999999998</v>
      </c>
      <c r="E9" s="21">
        <v>0.65</v>
      </c>
    </row>
    <row r="10" spans="1:6" ht="14.5" customHeight="1" x14ac:dyDescent="0.35">
      <c r="A10" s="21">
        <v>10</v>
      </c>
      <c r="B10" s="21">
        <v>3</v>
      </c>
      <c r="C10" s="21">
        <f t="shared" si="0"/>
        <v>10.25</v>
      </c>
      <c r="F10" s="21" t="s">
        <v>20</v>
      </c>
    </row>
    <row r="11" spans="1:6" ht="14.5" customHeight="1" x14ac:dyDescent="0.35">
      <c r="A11" s="21">
        <v>10</v>
      </c>
      <c r="B11" s="21">
        <v>3</v>
      </c>
      <c r="C11" s="21">
        <f t="shared" si="0"/>
        <v>10.25</v>
      </c>
      <c r="D11" s="21">
        <v>2.4</v>
      </c>
      <c r="E11" s="21">
        <v>0.4</v>
      </c>
    </row>
    <row r="12" spans="1:6" ht="14.5" customHeight="1" x14ac:dyDescent="0.35">
      <c r="A12" s="21">
        <v>11</v>
      </c>
      <c r="B12" s="21">
        <v>5</v>
      </c>
      <c r="C12" s="21">
        <f t="shared" si="0"/>
        <v>11.416666666666666</v>
      </c>
      <c r="F12" s="21" t="s">
        <v>20</v>
      </c>
    </row>
    <row r="13" spans="1:6" ht="14.5" customHeight="1" x14ac:dyDescent="0.35">
      <c r="A13" s="21">
        <v>11</v>
      </c>
      <c r="B13" s="21">
        <v>5</v>
      </c>
      <c r="C13" s="21">
        <f t="shared" si="0"/>
        <v>11.416666666666666</v>
      </c>
      <c r="D13" s="21">
        <v>2.56</v>
      </c>
      <c r="E13" s="21">
        <v>0</v>
      </c>
    </row>
    <row r="14" spans="1:6" ht="14.5" customHeight="1" x14ac:dyDescent="0.35">
      <c r="A14" s="21">
        <v>13</v>
      </c>
      <c r="B14" s="21">
        <v>2</v>
      </c>
      <c r="C14" s="21">
        <f t="shared" si="0"/>
        <v>13.166666666666666</v>
      </c>
      <c r="F14" s="21" t="s">
        <v>20</v>
      </c>
    </row>
    <row r="15" spans="1:6" ht="14.5" customHeight="1" x14ac:dyDescent="0.35">
      <c r="A15" s="21">
        <v>13</v>
      </c>
      <c r="B15" s="21">
        <v>9</v>
      </c>
      <c r="C15" s="21">
        <f t="shared" si="0"/>
        <v>13.75</v>
      </c>
      <c r="D15" s="21">
        <v>0.33</v>
      </c>
      <c r="E15" s="21">
        <v>0</v>
      </c>
    </row>
    <row r="16" spans="1:6" ht="14.5" customHeight="1" x14ac:dyDescent="0.35">
      <c r="A16" s="21">
        <v>15</v>
      </c>
      <c r="B16" s="21">
        <v>10</v>
      </c>
      <c r="C16" s="21">
        <f t="shared" si="0"/>
        <v>15.833333333333334</v>
      </c>
      <c r="D16" s="21">
        <v>0.4</v>
      </c>
      <c r="E16" s="21">
        <v>0</v>
      </c>
    </row>
    <row r="17" spans="1:5" ht="14.5" customHeight="1" x14ac:dyDescent="0.35">
      <c r="A17" s="21">
        <v>16</v>
      </c>
      <c r="B17" s="21">
        <v>8</v>
      </c>
      <c r="C17" s="21">
        <f t="shared" si="0"/>
        <v>16.666666666666668</v>
      </c>
      <c r="D17" s="21">
        <v>0.55000000000000004</v>
      </c>
      <c r="E17" s="21">
        <v>0</v>
      </c>
    </row>
    <row r="34" spans="1:1" ht="14.5" customHeight="1" x14ac:dyDescent="0.35">
      <c r="A34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workbookViewId="0">
      <selection sqref="A1:XFD14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2</v>
      </c>
      <c r="F1" s="21" t="s">
        <v>16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2</v>
      </c>
      <c r="B3" s="21">
        <v>8</v>
      </c>
      <c r="C3" s="21">
        <f t="shared" ref="C3:C14" si="0">A3+(B3/12)</f>
        <v>2.6666666666666665</v>
      </c>
      <c r="F3" s="21" t="s">
        <v>10</v>
      </c>
    </row>
    <row r="4" spans="1:6" ht="14.5" customHeight="1" x14ac:dyDescent="0.35">
      <c r="A4" s="21">
        <v>3</v>
      </c>
      <c r="B4" s="21">
        <v>1</v>
      </c>
      <c r="C4" s="21">
        <f t="shared" si="0"/>
        <v>3.0833333333333335</v>
      </c>
      <c r="D4" s="21">
        <v>1</v>
      </c>
      <c r="E4" s="21">
        <v>-0.1</v>
      </c>
    </row>
    <row r="5" spans="1:6" ht="14.5" customHeight="1" x14ac:dyDescent="0.35">
      <c r="A5" s="21">
        <v>3</v>
      </c>
      <c r="B5" s="21">
        <v>9</v>
      </c>
      <c r="C5" s="21">
        <f t="shared" si="0"/>
        <v>3.75</v>
      </c>
      <c r="D5" s="21">
        <v>1</v>
      </c>
      <c r="E5" s="21">
        <v>-0.14000000000000001</v>
      </c>
    </row>
    <row r="6" spans="1:6" ht="14.5" customHeight="1" x14ac:dyDescent="0.35">
      <c r="A6" s="21">
        <v>5</v>
      </c>
      <c r="B6" s="21">
        <v>3</v>
      </c>
      <c r="C6" s="21">
        <f t="shared" si="0"/>
        <v>5.25</v>
      </c>
      <c r="D6" s="21">
        <v>1.3</v>
      </c>
      <c r="E6" s="21">
        <v>0.31</v>
      </c>
    </row>
    <row r="7" spans="1:6" ht="14.5" customHeight="1" x14ac:dyDescent="0.35">
      <c r="A7" s="21">
        <v>6</v>
      </c>
      <c r="B7" s="21">
        <v>7</v>
      </c>
      <c r="C7" s="21">
        <f t="shared" si="0"/>
        <v>6.583333333333333</v>
      </c>
      <c r="D7" s="21">
        <v>1.65</v>
      </c>
      <c r="E7" s="21">
        <v>0.55000000000000004</v>
      </c>
    </row>
    <row r="8" spans="1:6" ht="14.5" customHeight="1" x14ac:dyDescent="0.35">
      <c r="A8" s="21">
        <v>9</v>
      </c>
      <c r="B8" s="21">
        <v>2</v>
      </c>
      <c r="C8" s="21">
        <f t="shared" si="0"/>
        <v>9.1666666666666661</v>
      </c>
      <c r="D8" s="21">
        <v>2.4</v>
      </c>
      <c r="E8" s="21">
        <v>0.8</v>
      </c>
    </row>
    <row r="9" spans="1:6" ht="14.5" customHeight="1" x14ac:dyDescent="0.35">
      <c r="A9" s="21">
        <v>10</v>
      </c>
      <c r="B9" s="21">
        <v>10</v>
      </c>
      <c r="C9" s="21">
        <f t="shared" si="0"/>
        <v>10.833333333333334</v>
      </c>
      <c r="D9" s="21">
        <v>2.73</v>
      </c>
      <c r="E9" s="21">
        <v>0.5</v>
      </c>
    </row>
    <row r="10" spans="1:6" ht="14.5" customHeight="1" x14ac:dyDescent="0.35">
      <c r="A10" s="21">
        <v>11</v>
      </c>
      <c r="B10" s="21">
        <v>9</v>
      </c>
      <c r="C10" s="21">
        <f t="shared" si="0"/>
        <v>11.75</v>
      </c>
      <c r="D10" s="21">
        <v>2.82</v>
      </c>
      <c r="E10" s="21">
        <v>0.3</v>
      </c>
    </row>
    <row r="11" spans="1:6" ht="14.5" customHeight="1" x14ac:dyDescent="0.35">
      <c r="A11" s="21">
        <v>13</v>
      </c>
      <c r="B11" s="21">
        <v>9</v>
      </c>
      <c r="C11" s="21">
        <f t="shared" si="0"/>
        <v>13.75</v>
      </c>
      <c r="D11" s="21">
        <v>0.5</v>
      </c>
      <c r="E11" s="21">
        <v>-0.1</v>
      </c>
    </row>
    <row r="12" spans="1:6" ht="14.5" customHeight="1" x14ac:dyDescent="0.35">
      <c r="A12" s="21">
        <v>15</v>
      </c>
      <c r="B12" s="21">
        <v>10</v>
      </c>
      <c r="C12" s="21">
        <f t="shared" si="0"/>
        <v>15.833333333333334</v>
      </c>
      <c r="D12" s="21">
        <v>0.6</v>
      </c>
      <c r="E12" s="21">
        <v>-0.16</v>
      </c>
    </row>
    <row r="13" spans="1:6" ht="14.5" customHeight="1" x14ac:dyDescent="0.35">
      <c r="A13" s="21">
        <v>16</v>
      </c>
      <c r="B13" s="21">
        <v>8</v>
      </c>
      <c r="C13" s="21">
        <f t="shared" si="0"/>
        <v>16.666666666666668</v>
      </c>
      <c r="D13" s="21">
        <v>0.84</v>
      </c>
      <c r="E13" s="21">
        <v>-0.11</v>
      </c>
    </row>
    <row r="14" spans="1:6" ht="14.5" customHeight="1" x14ac:dyDescent="0.35">
      <c r="A14" s="21">
        <v>18</v>
      </c>
      <c r="B14" s="21">
        <v>7</v>
      </c>
      <c r="C14" s="21">
        <f t="shared" si="0"/>
        <v>18.583333333333332</v>
      </c>
      <c r="D14" s="21">
        <v>0</v>
      </c>
      <c r="F14" s="21" t="s">
        <v>36</v>
      </c>
    </row>
    <row r="34" spans="1:1" ht="14.5" customHeight="1" x14ac:dyDescent="0.35">
      <c r="A34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N162"/>
  <sheetViews>
    <sheetView topLeftCell="A106" zoomScaleNormal="100" workbookViewId="0">
      <selection activeCell="D132" sqref="D132"/>
    </sheetView>
  </sheetViews>
  <sheetFormatPr defaultColWidth="8.7265625" defaultRowHeight="14.5" customHeight="1" x14ac:dyDescent="0.35"/>
  <cols>
    <col min="1" max="1" width="16.36328125" style="12" customWidth="1"/>
    <col min="2" max="3" width="8.7265625" style="12" customWidth="1"/>
    <col min="4" max="4" width="8.7265625" style="15" customWidth="1"/>
    <col min="5" max="15" width="8.7265625" style="12" customWidth="1"/>
    <col min="16" max="16" width="8.7265625" style="21" customWidth="1"/>
    <col min="17" max="39" width="8.7265625" style="12" customWidth="1"/>
    <col min="40" max="16384" width="8.7265625" style="12"/>
  </cols>
  <sheetData>
    <row r="1" spans="1:40" ht="14.5" customHeight="1" x14ac:dyDescent="0.35">
      <c r="B1" s="13" t="s">
        <v>45</v>
      </c>
      <c r="C1" s="13" t="s">
        <v>9</v>
      </c>
      <c r="D1" s="14" t="s">
        <v>46</v>
      </c>
      <c r="E1" s="13" t="s">
        <v>2</v>
      </c>
      <c r="F1" s="13" t="s">
        <v>5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56</v>
      </c>
      <c r="P1" s="19" t="s">
        <v>61</v>
      </c>
      <c r="Q1" s="12" t="s">
        <v>60</v>
      </c>
      <c r="R1" s="12" t="s">
        <v>66</v>
      </c>
      <c r="S1" s="12" t="s">
        <v>64</v>
      </c>
      <c r="T1" s="12" t="s">
        <v>65</v>
      </c>
      <c r="U1" s="12" t="s">
        <v>113</v>
      </c>
      <c r="V1" s="12" t="s">
        <v>73</v>
      </c>
      <c r="W1" s="12" t="s">
        <v>74</v>
      </c>
      <c r="X1" s="12" t="s">
        <v>75</v>
      </c>
      <c r="Y1" s="12" t="s">
        <v>114</v>
      </c>
      <c r="Z1" s="12" t="s">
        <v>76</v>
      </c>
      <c r="AA1" s="12" t="s">
        <v>77</v>
      </c>
      <c r="AB1" s="12" t="s">
        <v>78</v>
      </c>
      <c r="AC1" s="12" t="s">
        <v>115</v>
      </c>
      <c r="AD1" s="12" t="s">
        <v>79</v>
      </c>
      <c r="AE1" s="12" t="s">
        <v>80</v>
      </c>
      <c r="AF1" s="12" t="s">
        <v>81</v>
      </c>
      <c r="AG1" s="12" t="s">
        <v>116</v>
      </c>
      <c r="AI1" s="12" t="s">
        <v>93</v>
      </c>
      <c r="AJ1" s="12" t="s">
        <v>60</v>
      </c>
      <c r="AK1" s="12" t="s">
        <v>89</v>
      </c>
      <c r="AL1" s="12" t="s">
        <v>90</v>
      </c>
      <c r="AM1" s="12" t="s">
        <v>91</v>
      </c>
      <c r="AN1" s="12" t="s">
        <v>92</v>
      </c>
    </row>
    <row r="2" spans="1:40" ht="14.5" customHeight="1" x14ac:dyDescent="0.35">
      <c r="A2" s="12" t="s">
        <v>62</v>
      </c>
      <c r="B2" s="12">
        <v>12</v>
      </c>
      <c r="C2" s="12">
        <v>0</v>
      </c>
      <c r="D2" s="15">
        <f t="shared" ref="D2" si="0">B2+(C2/12)</f>
        <v>12</v>
      </c>
      <c r="E2" s="12">
        <v>3.97</v>
      </c>
      <c r="F2" s="16">
        <v>1</v>
      </c>
      <c r="G2" s="16"/>
      <c r="H2" s="16"/>
      <c r="I2" s="16"/>
      <c r="J2" s="16"/>
      <c r="K2" s="16"/>
      <c r="L2" s="16"/>
      <c r="M2" s="16"/>
      <c r="N2" s="16"/>
      <c r="O2" s="16">
        <f>SUM(F2:N2)</f>
        <v>1</v>
      </c>
      <c r="P2" s="20">
        <f>D2</f>
        <v>12</v>
      </c>
      <c r="Q2" s="12">
        <f>$B$49-E2</f>
        <v>146.77780000000001</v>
      </c>
      <c r="AI2" s="12">
        <f>P2</f>
        <v>12</v>
      </c>
      <c r="AJ2" s="12">
        <f>Q2</f>
        <v>146.77780000000001</v>
      </c>
    </row>
    <row r="3" spans="1:40" ht="14.5" customHeight="1" x14ac:dyDescent="0.35">
      <c r="A3" s="12" t="s">
        <v>62</v>
      </c>
      <c r="B3" s="12">
        <v>22</v>
      </c>
      <c r="C3" s="12">
        <v>11</v>
      </c>
      <c r="D3" s="15">
        <f t="shared" ref="D3:D8" si="1">B3+(C3/12)</f>
        <v>22.916666666666668</v>
      </c>
      <c r="E3" s="12">
        <v>4.8600000000000003</v>
      </c>
      <c r="F3" s="16">
        <v>1</v>
      </c>
      <c r="G3" s="16"/>
      <c r="H3" s="16"/>
      <c r="I3" s="16"/>
      <c r="J3" s="16"/>
      <c r="K3" s="16"/>
      <c r="L3" s="16"/>
      <c r="M3" s="16"/>
      <c r="N3" s="16"/>
      <c r="O3" s="16">
        <f t="shared" ref="O3:O45" si="2">SUM(F3:N3)</f>
        <v>1</v>
      </c>
      <c r="P3" s="20">
        <f t="shared" ref="P3:P45" si="3">D3</f>
        <v>22.916666666666668</v>
      </c>
      <c r="Q3" s="12">
        <f>$B$49-E3</f>
        <v>145.8878</v>
      </c>
      <c r="W3" s="15"/>
      <c r="X3" s="12">
        <v>145.23407659574468</v>
      </c>
      <c r="Y3" s="12">
        <f t="shared" ref="Y3:Y41" si="4">(T1F2_Flat_Level-$Q3)*(($P4-$P2)/2)</f>
        <v>-2.8778750000000013</v>
      </c>
      <c r="AB3" s="12">
        <v>145.49407659574467</v>
      </c>
      <c r="AC3" s="12">
        <f t="shared" ref="AC3:AC41" si="5">(T1F3_Flat_Level-$Q3)*(($P4-$P2)/2)</f>
        <v>-2.2130062499999141</v>
      </c>
      <c r="AF3" s="12">
        <v>145.69407659574466</v>
      </c>
      <c r="AG3" s="12">
        <f t="shared" ref="AG3:AG43" si="6">(T1F4_Flat_Level-$Q3)*(($P4-$P2)/2)</f>
        <v>-0.94014375000001138</v>
      </c>
      <c r="AI3" s="12">
        <f t="shared" ref="AI3:AI43" si="7">P3</f>
        <v>22.916666666666668</v>
      </c>
      <c r="AJ3" s="12">
        <f t="shared" ref="AJ3:AJ43" si="8">Q3</f>
        <v>145.8878</v>
      </c>
      <c r="AL3" s="12">
        <f t="shared" ref="AL3:AL41" si="9">T1F2_Flat_Level</f>
        <v>145.3818</v>
      </c>
      <c r="AM3" s="12">
        <f t="shared" ref="AM3:AM41" si="10">T1F3_Flat_Level</f>
        <v>145.49870000000001</v>
      </c>
      <c r="AN3" s="12">
        <f t="shared" ref="AN3:AN43" si="11">T1F4_Flat_Level</f>
        <v>145.7225</v>
      </c>
    </row>
    <row r="4" spans="1:40" ht="14.5" customHeight="1" x14ac:dyDescent="0.35">
      <c r="A4" s="12" t="s">
        <v>67</v>
      </c>
      <c r="B4" s="12">
        <v>23</v>
      </c>
      <c r="C4" s="12">
        <v>4.5</v>
      </c>
      <c r="D4" s="15">
        <f t="shared" si="1"/>
        <v>23.375</v>
      </c>
      <c r="E4" s="12">
        <v>6.24</v>
      </c>
      <c r="F4" s="16"/>
      <c r="G4" s="16">
        <v>0.2</v>
      </c>
      <c r="H4" s="16">
        <v>0.6</v>
      </c>
      <c r="I4" s="16">
        <v>0.2</v>
      </c>
      <c r="J4" s="16"/>
      <c r="K4" s="16"/>
      <c r="L4" s="16"/>
      <c r="M4" s="16"/>
      <c r="N4" s="16"/>
      <c r="O4" s="16">
        <f t="shared" si="2"/>
        <v>1</v>
      </c>
      <c r="P4" s="20">
        <f t="shared" si="3"/>
        <v>23.375</v>
      </c>
      <c r="Q4" s="12">
        <f>$B$49-E4</f>
        <v>144.5078</v>
      </c>
      <c r="T4" s="12">
        <f>T6</f>
        <v>145.02939574468084</v>
      </c>
      <c r="U4" s="12">
        <f t="shared" ref="U4:U39" si="12">(T1F1_Flat_Level-$Q4)*(($P5-$P3)/2)</f>
        <v>0.17310416666666803</v>
      </c>
      <c r="W4" s="15"/>
      <c r="X4" s="12">
        <v>145.23407659574468</v>
      </c>
      <c r="Y4" s="12">
        <f t="shared" si="4"/>
        <v>0.25491666666666474</v>
      </c>
      <c r="AB4" s="12">
        <v>145.49407659574467</v>
      </c>
      <c r="AC4" s="12">
        <f t="shared" si="5"/>
        <v>0.2890125000000025</v>
      </c>
      <c r="AF4" s="12">
        <v>145.69407659574466</v>
      </c>
      <c r="AG4" s="12">
        <f t="shared" si="6"/>
        <v>0.35428749999999737</v>
      </c>
      <c r="AI4" s="12">
        <f>P4</f>
        <v>23.375</v>
      </c>
      <c r="AJ4" s="12">
        <f t="shared" si="8"/>
        <v>144.5078</v>
      </c>
      <c r="AK4" s="12">
        <f t="shared" ref="AK4:AK39" si="13">T1F1_Flat_Level</f>
        <v>145.10130000000001</v>
      </c>
      <c r="AL4" s="12">
        <f t="shared" si="9"/>
        <v>145.3818</v>
      </c>
      <c r="AM4" s="12">
        <f t="shared" si="10"/>
        <v>145.49870000000001</v>
      </c>
      <c r="AN4" s="12">
        <f t="shared" si="11"/>
        <v>145.7225</v>
      </c>
    </row>
    <row r="5" spans="1:40" ht="14.5" customHeight="1" x14ac:dyDescent="0.35">
      <c r="A5" s="12" t="s">
        <v>84</v>
      </c>
      <c r="B5" s="12">
        <v>23</v>
      </c>
      <c r="C5" s="12">
        <v>6</v>
      </c>
      <c r="D5" s="15">
        <f t="shared" si="1"/>
        <v>23.5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20">
        <f t="shared" si="3"/>
        <v>23.5</v>
      </c>
      <c r="Q5" s="12">
        <f>Q4+((Q9-Q4)*(($D5-$D4)/($D9-$D4)))</f>
        <v>144.49407659574467</v>
      </c>
      <c r="T5" s="12">
        <f>T4+((T6-T4)*(($D5-$D4)/($D6-$D4)))</f>
        <v>145.02939574468084</v>
      </c>
      <c r="U5" s="12">
        <f t="shared" si="12"/>
        <v>0.49336901595746063</v>
      </c>
      <c r="V5" s="18">
        <v>0.74</v>
      </c>
      <c r="W5" s="18">
        <v>0.01</v>
      </c>
      <c r="X5" s="18">
        <f>Q5+V5</f>
        <v>145.23407659574468</v>
      </c>
      <c r="Y5" s="12">
        <f t="shared" si="4"/>
        <v>0.72127526595745195</v>
      </c>
      <c r="Z5" s="18">
        <v>1</v>
      </c>
      <c r="AB5" s="18">
        <f>Q5+Z5</f>
        <v>145.49407659574467</v>
      </c>
      <c r="AC5" s="12">
        <f t="shared" si="5"/>
        <v>0.8162565159574644</v>
      </c>
      <c r="AD5" s="18">
        <v>1.2</v>
      </c>
      <c r="AE5" s="18">
        <v>0.06</v>
      </c>
      <c r="AF5" s="18">
        <f>Q5+AD5</f>
        <v>145.69407659574466</v>
      </c>
      <c r="AG5" s="12">
        <f t="shared" si="6"/>
        <v>0.99809401595745051</v>
      </c>
      <c r="AI5" s="12">
        <f t="shared" si="7"/>
        <v>23.5</v>
      </c>
      <c r="AJ5" s="12">
        <f t="shared" si="8"/>
        <v>144.49407659574467</v>
      </c>
      <c r="AK5" s="12">
        <f t="shared" si="13"/>
        <v>145.10130000000001</v>
      </c>
      <c r="AL5" s="12">
        <f t="shared" si="9"/>
        <v>145.3818</v>
      </c>
      <c r="AM5" s="12">
        <f t="shared" si="10"/>
        <v>145.49870000000001</v>
      </c>
      <c r="AN5" s="12">
        <f t="shared" si="11"/>
        <v>145.7225</v>
      </c>
    </row>
    <row r="6" spans="1:40" ht="14.5" customHeight="1" x14ac:dyDescent="0.35">
      <c r="A6" s="12" t="s">
        <v>85</v>
      </c>
      <c r="B6" s="12">
        <v>25</v>
      </c>
      <c r="C6" s="12">
        <v>0</v>
      </c>
      <c r="D6" s="15">
        <f t="shared" si="1"/>
        <v>25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20">
        <f t="shared" si="3"/>
        <v>25</v>
      </c>
      <c r="Q6" s="12">
        <f>Q4+((Q9-Q4)*(($D6-$D4)/($D9-$D4)))</f>
        <v>144.32939574468085</v>
      </c>
      <c r="R6" s="12">
        <v>0.7</v>
      </c>
      <c r="S6" s="12">
        <v>0.08</v>
      </c>
      <c r="T6" s="12">
        <f>Q6+R6</f>
        <v>145.02939574468084</v>
      </c>
      <c r="U6" s="12">
        <f t="shared" si="12"/>
        <v>0.70757890070922691</v>
      </c>
      <c r="V6" s="18">
        <v>0.9</v>
      </c>
      <c r="W6" s="18">
        <v>0.21</v>
      </c>
      <c r="X6" s="18">
        <f t="shared" ref="X6:X12" si="14">Q6+V6</f>
        <v>145.22939574468086</v>
      </c>
      <c r="Y6" s="12">
        <f t="shared" si="4"/>
        <v>0.96470390070921685</v>
      </c>
      <c r="AB6" s="12">
        <f>AB5+((AB7-AB5)*(($D6-$D5)/($D7-$D5)))</f>
        <v>145.32939574468088</v>
      </c>
      <c r="AC6" s="12">
        <f t="shared" si="5"/>
        <v>1.0718622340425643</v>
      </c>
      <c r="AD6" s="18">
        <v>1.3</v>
      </c>
      <c r="AE6" s="18">
        <v>0.18</v>
      </c>
      <c r="AF6" s="18">
        <f>Q6+AD6</f>
        <v>145.62939574468086</v>
      </c>
      <c r="AG6" s="12">
        <f t="shared" si="6"/>
        <v>1.2770122340425485</v>
      </c>
      <c r="AI6" s="12">
        <f t="shared" si="7"/>
        <v>25</v>
      </c>
      <c r="AJ6" s="12">
        <f t="shared" si="8"/>
        <v>144.32939574468085</v>
      </c>
      <c r="AK6" s="12">
        <f t="shared" si="13"/>
        <v>145.10130000000001</v>
      </c>
      <c r="AL6" s="12">
        <f t="shared" si="9"/>
        <v>145.3818</v>
      </c>
      <c r="AM6" s="12">
        <f t="shared" si="10"/>
        <v>145.49870000000001</v>
      </c>
      <c r="AN6" s="12">
        <f t="shared" si="11"/>
        <v>145.7225</v>
      </c>
    </row>
    <row r="7" spans="1:40" ht="14.5" customHeight="1" x14ac:dyDescent="0.35">
      <c r="A7" s="12" t="s">
        <v>83</v>
      </c>
      <c r="B7" s="12">
        <v>25</v>
      </c>
      <c r="C7" s="12">
        <v>4</v>
      </c>
      <c r="D7" s="15">
        <f t="shared" si="1"/>
        <v>25.333333333333332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20">
        <f t="shared" si="3"/>
        <v>25.333333333333332</v>
      </c>
      <c r="Q7" s="12">
        <f>Q4+((Q9-Q4)*(($D7-$D4)/($D9-$D4)))</f>
        <v>144.29280000000003</v>
      </c>
      <c r="T7" s="12">
        <f>T6+((T13-T6)*(($D7-$D6)/($D13-$D6)))</f>
        <v>145.03475409092144</v>
      </c>
      <c r="U7" s="12">
        <f t="shared" si="12"/>
        <v>0.64006249999998444</v>
      </c>
      <c r="V7" s="18"/>
      <c r="W7" s="18"/>
      <c r="X7" s="12">
        <f>X6+((X9-X6)*(($D7-$D6)/($D9-$D6)))</f>
        <v>145.23934545454546</v>
      </c>
      <c r="Y7" s="12">
        <f t="shared" si="4"/>
        <v>0.86212499999997583</v>
      </c>
      <c r="Z7" s="18">
        <v>1</v>
      </c>
      <c r="AA7" s="18">
        <v>0.3</v>
      </c>
      <c r="AB7" s="18">
        <f t="shared" ref="AB7:AB8" si="15">Q7+Z7</f>
        <v>145.29280000000003</v>
      </c>
      <c r="AC7" s="12">
        <f t="shared" si="5"/>
        <v>0.95467083333332114</v>
      </c>
      <c r="AF7" s="12">
        <f>AF6+((AF9-AF6)*(($D7-$D6)/($D9-$D6)))</f>
        <v>145.63643636363636</v>
      </c>
      <c r="AG7" s="12">
        <f t="shared" si="6"/>
        <v>1.1318458333333075</v>
      </c>
      <c r="AI7" s="12">
        <f t="shared" si="7"/>
        <v>25.333333333333332</v>
      </c>
      <c r="AJ7" s="12">
        <f t="shared" si="8"/>
        <v>144.29280000000003</v>
      </c>
      <c r="AK7" s="12">
        <f t="shared" si="13"/>
        <v>145.10130000000001</v>
      </c>
      <c r="AL7" s="12">
        <f t="shared" si="9"/>
        <v>145.3818</v>
      </c>
      <c r="AM7" s="12">
        <f t="shared" si="10"/>
        <v>145.49870000000001</v>
      </c>
      <c r="AN7" s="12">
        <f t="shared" si="11"/>
        <v>145.7225</v>
      </c>
    </row>
    <row r="8" spans="1:40" ht="14.5" customHeight="1" x14ac:dyDescent="0.35">
      <c r="A8" s="12" t="s">
        <v>83</v>
      </c>
      <c r="B8" s="12">
        <v>26</v>
      </c>
      <c r="C8" s="12">
        <v>7</v>
      </c>
      <c r="D8" s="15">
        <f t="shared" si="1"/>
        <v>26.583333333333332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20">
        <f t="shared" si="3"/>
        <v>26.583333333333332</v>
      </c>
      <c r="Q8" s="12">
        <f>Q4+((Q9-Q4)*(($D8-$D4)/($D9-$D4)))</f>
        <v>144.15556595744684</v>
      </c>
      <c r="T8" s="12">
        <f>T6+((T13-T6)*(($D8-$D6)/($D13-$D6)))</f>
        <v>145.05484788932367</v>
      </c>
      <c r="U8" s="12">
        <f t="shared" si="12"/>
        <v>0.92603124999997977</v>
      </c>
      <c r="V8" s="18"/>
      <c r="W8" s="18"/>
      <c r="X8" s="12">
        <f>X6+((X9-X6)*(($D8-$D6)/($D9-$D6)))</f>
        <v>145.27665686653773</v>
      </c>
      <c r="Y8" s="12">
        <f t="shared" si="4"/>
        <v>1.2006874999999697</v>
      </c>
      <c r="Z8" s="18">
        <v>1.4</v>
      </c>
      <c r="AA8" s="18"/>
      <c r="AB8" s="18">
        <f t="shared" si="15"/>
        <v>145.55556595744685</v>
      </c>
      <c r="AC8" s="12">
        <f t="shared" si="5"/>
        <v>1.3151520833333181</v>
      </c>
      <c r="AF8" s="12">
        <f>AF6+((AF9-AF6)*(($D8-$D6)/($D9-$D6)))</f>
        <v>145.66283868471956</v>
      </c>
      <c r="AG8" s="12">
        <f t="shared" si="6"/>
        <v>1.5342895833333017</v>
      </c>
      <c r="AI8" s="12">
        <f t="shared" si="7"/>
        <v>26.583333333333332</v>
      </c>
      <c r="AJ8" s="12">
        <f t="shared" si="8"/>
        <v>144.15556595744684</v>
      </c>
      <c r="AK8" s="12">
        <f t="shared" si="13"/>
        <v>145.10130000000001</v>
      </c>
      <c r="AL8" s="12">
        <f t="shared" si="9"/>
        <v>145.3818</v>
      </c>
      <c r="AM8" s="12">
        <f t="shared" si="10"/>
        <v>145.49870000000001</v>
      </c>
      <c r="AN8" s="12">
        <f t="shared" si="11"/>
        <v>145.7225</v>
      </c>
    </row>
    <row r="9" spans="1:40" ht="14.5" customHeight="1" x14ac:dyDescent="0.35">
      <c r="A9" s="12" t="s">
        <v>86</v>
      </c>
      <c r="B9" s="12">
        <v>27</v>
      </c>
      <c r="C9" s="12">
        <v>3.5</v>
      </c>
      <c r="D9" s="15">
        <f t="shared" ref="D9:D45" si="16">B9+(C9/12)</f>
        <v>27.291666666666668</v>
      </c>
      <c r="E9" s="12">
        <v>6.67</v>
      </c>
      <c r="F9" s="16"/>
      <c r="G9" s="16"/>
      <c r="H9" s="16">
        <v>0.3</v>
      </c>
      <c r="I9" s="16">
        <v>0.4</v>
      </c>
      <c r="J9" s="16">
        <v>0.3</v>
      </c>
      <c r="K9" s="16"/>
      <c r="L9" s="16"/>
      <c r="M9" s="16"/>
      <c r="N9" s="16"/>
      <c r="O9" s="16">
        <f t="shared" si="2"/>
        <v>1</v>
      </c>
      <c r="P9" s="20">
        <f t="shared" si="3"/>
        <v>27.291666666666668</v>
      </c>
      <c r="Q9" s="12">
        <f>$B$49-E9</f>
        <v>144.07780000000002</v>
      </c>
      <c r="T9" s="12">
        <f>T6+((T13-T6)*(($D9-$D6)/($D13-$D6)))</f>
        <v>145.06623437508492</v>
      </c>
      <c r="U9" s="12">
        <f t="shared" si="12"/>
        <v>0.59704166666665814</v>
      </c>
      <c r="V9" s="18">
        <v>1.22</v>
      </c>
      <c r="W9" s="18">
        <v>0.55000000000000004</v>
      </c>
      <c r="X9" s="18">
        <f t="shared" si="14"/>
        <v>145.29780000000002</v>
      </c>
      <c r="Y9" s="12">
        <f t="shared" si="4"/>
        <v>0.76066666666665206</v>
      </c>
      <c r="AB9" s="12">
        <f>AB8+((AB10-AB8)*(($D9-$D8)/($D10-$D8)))</f>
        <v>145.51913449394368</v>
      </c>
      <c r="AC9" s="12">
        <f t="shared" si="5"/>
        <v>0.8288583333333277</v>
      </c>
      <c r="AD9" s="18">
        <v>1.6</v>
      </c>
      <c r="AE9" s="18">
        <v>0.82</v>
      </c>
      <c r="AF9" s="18">
        <f>Q9+AD9</f>
        <v>145.67780000000002</v>
      </c>
      <c r="AG9" s="12">
        <f t="shared" si="6"/>
        <v>0.95940833333331788</v>
      </c>
      <c r="AI9" s="12">
        <f t="shared" si="7"/>
        <v>27.291666666666668</v>
      </c>
      <c r="AJ9" s="12">
        <f t="shared" si="8"/>
        <v>144.07780000000002</v>
      </c>
      <c r="AK9" s="12">
        <f t="shared" si="13"/>
        <v>145.10130000000001</v>
      </c>
      <c r="AL9" s="12">
        <f t="shared" si="9"/>
        <v>145.3818</v>
      </c>
      <c r="AM9" s="12">
        <f t="shared" si="10"/>
        <v>145.49870000000001</v>
      </c>
      <c r="AN9" s="12">
        <f t="shared" si="11"/>
        <v>145.7225</v>
      </c>
    </row>
    <row r="10" spans="1:40" ht="14.5" customHeight="1" x14ac:dyDescent="0.35">
      <c r="A10" s="12" t="s">
        <v>83</v>
      </c>
      <c r="B10" s="12">
        <v>27</v>
      </c>
      <c r="C10" s="12">
        <v>9</v>
      </c>
      <c r="D10" s="15">
        <f t="shared" si="16"/>
        <v>27.75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0">
        <f t="shared" si="3"/>
        <v>27.75</v>
      </c>
      <c r="Q10" s="12">
        <f>Q9+((Q12-Q9)*(($D10-$D9)/($D12-$D9)))</f>
        <v>144.11556119402988</v>
      </c>
      <c r="T10" s="12">
        <f>T6+((T13-T6)*(($D10-$D6)/($D13-$D6)))</f>
        <v>145.07360210116573</v>
      </c>
      <c r="U10" s="12">
        <f t="shared" si="12"/>
        <v>1.3348546330845494</v>
      </c>
      <c r="V10" s="18"/>
      <c r="W10" s="18"/>
      <c r="X10" s="12">
        <f>X9+((X12-X9)*(($D10-$D9)/($D12-$D9)))</f>
        <v>145.30108358208957</v>
      </c>
      <c r="Y10" s="12">
        <f t="shared" si="4"/>
        <v>1.7146983830845348</v>
      </c>
      <c r="Z10" s="18">
        <v>1.38</v>
      </c>
      <c r="AA10" s="18">
        <v>0.8</v>
      </c>
      <c r="AB10" s="18">
        <f t="shared" ref="AB10:AB11" si="17">Q10+Z10</f>
        <v>145.49556119402988</v>
      </c>
      <c r="AC10" s="12">
        <f t="shared" si="5"/>
        <v>1.873000466417889</v>
      </c>
      <c r="AF10" s="12">
        <f>AF9+((AF12-AF9)*(($D10-$D9)/($D12-$D9)))</f>
        <v>145.68272537313436</v>
      </c>
      <c r="AG10" s="12">
        <f t="shared" si="6"/>
        <v>2.1760629664178657</v>
      </c>
      <c r="AI10" s="12">
        <f t="shared" si="7"/>
        <v>27.75</v>
      </c>
      <c r="AJ10" s="12">
        <f t="shared" si="8"/>
        <v>144.11556119402988</v>
      </c>
      <c r="AK10" s="12">
        <f t="shared" si="13"/>
        <v>145.10130000000001</v>
      </c>
      <c r="AL10" s="12">
        <f t="shared" si="9"/>
        <v>145.3818</v>
      </c>
      <c r="AM10" s="12">
        <f t="shared" si="10"/>
        <v>145.49870000000001</v>
      </c>
      <c r="AN10" s="12">
        <f t="shared" si="11"/>
        <v>145.7225</v>
      </c>
    </row>
    <row r="11" spans="1:40" ht="14.5" customHeight="1" x14ac:dyDescent="0.35">
      <c r="A11" s="12" t="s">
        <v>83</v>
      </c>
      <c r="B11" s="12">
        <v>30</v>
      </c>
      <c r="C11" s="12">
        <v>0</v>
      </c>
      <c r="D11" s="15">
        <f t="shared" si="16"/>
        <v>30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>
        <f t="shared" si="3"/>
        <v>30</v>
      </c>
      <c r="Q11" s="12">
        <f>Q9+((Q12-Q9)*(($D11-$D9)/($D12-$D9)))</f>
        <v>144.30093432835821</v>
      </c>
      <c r="T11" s="12">
        <f>T6+((T13-T6)*(($D11-$D6)/($D13-$D6)))</f>
        <v>145.10977093828973</v>
      </c>
      <c r="U11" s="12">
        <f t="shared" si="12"/>
        <v>0.93375995024876535</v>
      </c>
      <c r="V11" s="18"/>
      <c r="W11" s="18"/>
      <c r="X11" s="12">
        <f>X9+((X12-X9)*(($D11-$D9)/($D12-$D9)))</f>
        <v>145.31720298507463</v>
      </c>
      <c r="Y11" s="12">
        <f t="shared" si="4"/>
        <v>1.2610099502487526</v>
      </c>
      <c r="Z11" s="18">
        <v>1.2</v>
      </c>
      <c r="AA11" s="18"/>
      <c r="AB11" s="18">
        <f t="shared" si="17"/>
        <v>145.5009343283582</v>
      </c>
      <c r="AC11" s="12">
        <f t="shared" si="5"/>
        <v>1.3973932835821039</v>
      </c>
      <c r="AF11" s="12">
        <f>AF9+((AF12-AF9)*(($D11-$D9)/($D12-$D9)))</f>
        <v>145.70690447761197</v>
      </c>
      <c r="AG11" s="12">
        <f t="shared" si="6"/>
        <v>1.6584932835820838</v>
      </c>
      <c r="AI11" s="12">
        <f t="shared" si="7"/>
        <v>30</v>
      </c>
      <c r="AJ11" s="12">
        <f t="shared" si="8"/>
        <v>144.30093432835821</v>
      </c>
      <c r="AK11" s="12">
        <f t="shared" si="13"/>
        <v>145.10130000000001</v>
      </c>
      <c r="AL11" s="12">
        <f t="shared" si="9"/>
        <v>145.3818</v>
      </c>
      <c r="AM11" s="12">
        <f t="shared" si="10"/>
        <v>145.49870000000001</v>
      </c>
      <c r="AN11" s="12">
        <f t="shared" si="11"/>
        <v>145.7225</v>
      </c>
    </row>
    <row r="12" spans="1:40" ht="14.5" customHeight="1" x14ac:dyDescent="0.35">
      <c r="A12" s="12" t="s">
        <v>86</v>
      </c>
      <c r="B12" s="12">
        <v>30</v>
      </c>
      <c r="C12" s="12">
        <v>1</v>
      </c>
      <c r="D12" s="15">
        <f t="shared" si="16"/>
        <v>30.083333333333332</v>
      </c>
      <c r="E12" s="12">
        <v>6.44</v>
      </c>
      <c r="F12" s="16"/>
      <c r="G12" s="16"/>
      <c r="H12" s="16"/>
      <c r="I12" s="16">
        <v>0.1</v>
      </c>
      <c r="J12" s="16">
        <v>0.6</v>
      </c>
      <c r="K12" s="16">
        <v>0.3</v>
      </c>
      <c r="L12" s="16"/>
      <c r="M12" s="16"/>
      <c r="N12" s="16"/>
      <c r="O12" s="16">
        <f t="shared" si="2"/>
        <v>1</v>
      </c>
      <c r="P12" s="20">
        <f t="shared" si="3"/>
        <v>30.083333333333332</v>
      </c>
      <c r="Q12" s="12">
        <f>$B$49-E12</f>
        <v>144.30780000000001</v>
      </c>
      <c r="T12" s="12">
        <f>T6+((T13-T6)*(($D12-$D6)/($D13-$D6)))</f>
        <v>145.11111052484989</v>
      </c>
      <c r="U12" s="12">
        <f t="shared" si="12"/>
        <v>0.39674999999999727</v>
      </c>
      <c r="V12" s="18">
        <v>1.01</v>
      </c>
      <c r="W12" s="18">
        <v>0.43</v>
      </c>
      <c r="X12" s="18">
        <f t="shared" si="14"/>
        <v>145.31780000000001</v>
      </c>
      <c r="Y12" s="12">
        <f t="shared" si="4"/>
        <v>0.53699999999999193</v>
      </c>
      <c r="AB12" s="12">
        <f>AB11+((AB15-AB11)*(($D12-$D11)/($D15-$D11)))</f>
        <v>145.50211662599128</v>
      </c>
      <c r="AC12" s="12">
        <f t="shared" si="5"/>
        <v>0.59544999999999959</v>
      </c>
      <c r="AD12" s="18">
        <v>1.4</v>
      </c>
      <c r="AE12" s="18">
        <v>1.08</v>
      </c>
      <c r="AF12" s="18">
        <f>Q12+AD12</f>
        <v>145.70780000000002</v>
      </c>
      <c r="AG12" s="12">
        <f t="shared" si="6"/>
        <v>0.70734999999999104</v>
      </c>
      <c r="AI12" s="12">
        <f t="shared" si="7"/>
        <v>30.083333333333332</v>
      </c>
      <c r="AJ12" s="12">
        <f t="shared" si="8"/>
        <v>144.30780000000001</v>
      </c>
      <c r="AK12" s="12">
        <f t="shared" si="13"/>
        <v>145.10130000000001</v>
      </c>
      <c r="AL12" s="12">
        <f t="shared" si="9"/>
        <v>145.3818</v>
      </c>
      <c r="AM12" s="12">
        <f t="shared" si="10"/>
        <v>145.49870000000001</v>
      </c>
      <c r="AN12" s="12">
        <f t="shared" si="11"/>
        <v>145.7225</v>
      </c>
    </row>
    <row r="13" spans="1:40" ht="14.5" customHeight="1" x14ac:dyDescent="0.35">
      <c r="A13" s="12" t="s">
        <v>68</v>
      </c>
      <c r="B13" s="12">
        <v>31</v>
      </c>
      <c r="C13" s="12">
        <v>0</v>
      </c>
      <c r="D13" s="15">
        <f>B13+(C13/12)</f>
        <v>31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0">
        <f t="shared" si="3"/>
        <v>31</v>
      </c>
      <c r="Q13" s="12">
        <f>Q12+((Q17-Q12)*(($D13-$D12)/($D17-$D12)))</f>
        <v>144.35584597701151</v>
      </c>
      <c r="R13" s="12">
        <v>0.77</v>
      </c>
      <c r="S13" s="12">
        <v>0.13</v>
      </c>
      <c r="T13" s="12">
        <f>Q13+R13</f>
        <v>145.12584597701152</v>
      </c>
      <c r="U13" s="12">
        <f t="shared" si="12"/>
        <v>1.6462109674329313</v>
      </c>
      <c r="W13" s="15"/>
      <c r="X13" s="12">
        <f>X12+((X14-X12)*(($D13-$D12)/($D14-$D12)))</f>
        <v>145.30773276946434</v>
      </c>
      <c r="Y13" s="12">
        <f t="shared" si="4"/>
        <v>2.2656484674329076</v>
      </c>
      <c r="AB13" s="12">
        <f>AB11+((AB15-AB11)*(($D13-$D11)/($D15-$D11)))</f>
        <v>145.51512189995518</v>
      </c>
      <c r="AC13" s="12">
        <f t="shared" si="5"/>
        <v>2.5238026340996083</v>
      </c>
      <c r="AF13" s="12">
        <f>AF12+((AF14-AF12)*(($D13-$D12)/($D14-$D12)))</f>
        <v>145.75169503361528</v>
      </c>
      <c r="AG13" s="12">
        <f t="shared" si="6"/>
        <v>3.0180276340995706</v>
      </c>
      <c r="AI13" s="12">
        <f t="shared" si="7"/>
        <v>31</v>
      </c>
      <c r="AJ13" s="12">
        <f t="shared" si="8"/>
        <v>144.35584597701151</v>
      </c>
      <c r="AK13" s="12">
        <f t="shared" si="13"/>
        <v>145.10130000000001</v>
      </c>
      <c r="AL13" s="12">
        <f t="shared" si="9"/>
        <v>145.3818</v>
      </c>
      <c r="AM13" s="12">
        <f t="shared" si="10"/>
        <v>145.49870000000001</v>
      </c>
      <c r="AN13" s="12">
        <f t="shared" si="11"/>
        <v>145.7225</v>
      </c>
    </row>
    <row r="14" spans="1:40" ht="14.5" customHeight="1" x14ac:dyDescent="0.35">
      <c r="A14" s="12" t="s">
        <v>85</v>
      </c>
      <c r="B14" s="12">
        <v>34</v>
      </c>
      <c r="C14" s="12">
        <v>6</v>
      </c>
      <c r="D14" s="15">
        <f>B14+(C14/12)</f>
        <v>34.5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0">
        <f t="shared" si="3"/>
        <v>34.5</v>
      </c>
      <c r="Q14" s="12">
        <f>Q12+((Q17-Q12)*(($D14-$D12)/($D17-$D12)))</f>
        <v>144.53929425287359</v>
      </c>
      <c r="R14" s="12">
        <v>0.68</v>
      </c>
      <c r="S14" s="12">
        <v>0.24</v>
      </c>
      <c r="T14" s="12">
        <f>Q14+R14</f>
        <v>145.2192942528736</v>
      </c>
      <c r="U14" s="12">
        <f t="shared" si="12"/>
        <v>1.170845306513375</v>
      </c>
      <c r="V14" s="18">
        <v>0.73</v>
      </c>
      <c r="W14" s="18">
        <v>0.39</v>
      </c>
      <c r="X14" s="18">
        <f>Q14+V14</f>
        <v>145.26929425287358</v>
      </c>
      <c r="Y14" s="12">
        <f t="shared" si="4"/>
        <v>1.7552203065133525</v>
      </c>
      <c r="AB14" s="12">
        <f>AB11+((AB15-AB11)*(($D14-$D11)/($D15-$D11)))</f>
        <v>145.56477840054455</v>
      </c>
      <c r="AC14" s="12">
        <f t="shared" si="5"/>
        <v>1.998761973180051</v>
      </c>
      <c r="AD14" s="18">
        <v>1.38</v>
      </c>
      <c r="AE14" s="18">
        <v>0.57999999999999996</v>
      </c>
      <c r="AF14" s="18">
        <f>Q14+AD14</f>
        <v>145.91929425287358</v>
      </c>
      <c r="AG14" s="12">
        <f t="shared" si="6"/>
        <v>2.4650119731800153</v>
      </c>
      <c r="AI14" s="12">
        <f t="shared" si="7"/>
        <v>34.5</v>
      </c>
      <c r="AJ14" s="12">
        <f t="shared" si="8"/>
        <v>144.53929425287359</v>
      </c>
      <c r="AK14" s="12">
        <f t="shared" si="13"/>
        <v>145.10130000000001</v>
      </c>
      <c r="AL14" s="12">
        <f t="shared" si="9"/>
        <v>145.3818</v>
      </c>
      <c r="AM14" s="12">
        <f t="shared" si="10"/>
        <v>145.49870000000001</v>
      </c>
      <c r="AN14" s="12">
        <f t="shared" si="11"/>
        <v>145.7225</v>
      </c>
    </row>
    <row r="15" spans="1:40" ht="14.5" customHeight="1" x14ac:dyDescent="0.35">
      <c r="A15" s="12" t="s">
        <v>83</v>
      </c>
      <c r="B15" s="12">
        <v>35</v>
      </c>
      <c r="C15" s="12">
        <v>2</v>
      </c>
      <c r="D15" s="15">
        <f>B15+(C15/12)</f>
        <v>35.166666666666664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>
        <f t="shared" si="3"/>
        <v>35.166666666666664</v>
      </c>
      <c r="Q15" s="12">
        <f>Q12+((Q17-Q12)*(($D15-$D12)/($D17-$D12)))</f>
        <v>144.57423678160922</v>
      </c>
      <c r="T15" s="12">
        <f>T14+((T18-T14)*(($D15-$D14)/($D18-$D14)))</f>
        <v>145.22358381214747</v>
      </c>
      <c r="U15" s="12">
        <f t="shared" si="12"/>
        <v>0.68078999042144228</v>
      </c>
      <c r="V15" s="18"/>
      <c r="W15" s="18"/>
      <c r="X15" s="12">
        <f>X14+((X18-X14)*(($D15-$D14)/($D18-$D14)))</f>
        <v>145.28449290305656</v>
      </c>
      <c r="Y15" s="12">
        <f t="shared" si="4"/>
        <v>1.0431024904214288</v>
      </c>
      <c r="Z15" s="18">
        <v>1</v>
      </c>
      <c r="AA15" s="18">
        <v>0.41</v>
      </c>
      <c r="AB15" s="18">
        <f t="shared" ref="AB15:AB16" si="18">Q15+Z15</f>
        <v>145.57423678160922</v>
      </c>
      <c r="AC15" s="12">
        <f t="shared" si="5"/>
        <v>1.194098323754782</v>
      </c>
      <c r="AF15" s="12">
        <f>AF14+((AF18-AF14)*(($D15-$D14)/($D18-$D14)))</f>
        <v>145.90540199396565</v>
      </c>
      <c r="AG15" s="12">
        <f t="shared" si="6"/>
        <v>1.4831733237547602</v>
      </c>
      <c r="AI15" s="12">
        <f t="shared" si="7"/>
        <v>35.166666666666664</v>
      </c>
      <c r="AJ15" s="12">
        <f t="shared" si="8"/>
        <v>144.57423678160922</v>
      </c>
      <c r="AK15" s="12">
        <f t="shared" si="13"/>
        <v>145.10130000000001</v>
      </c>
      <c r="AL15" s="12">
        <f t="shared" si="9"/>
        <v>145.3818</v>
      </c>
      <c r="AM15" s="12">
        <f t="shared" si="10"/>
        <v>145.49870000000001</v>
      </c>
      <c r="AN15" s="12">
        <f t="shared" si="11"/>
        <v>145.7225</v>
      </c>
    </row>
    <row r="16" spans="1:40" ht="14.5" customHeight="1" x14ac:dyDescent="0.35">
      <c r="A16" s="12" t="s">
        <v>83</v>
      </c>
      <c r="B16" s="12">
        <v>37</v>
      </c>
      <c r="C16" s="12">
        <v>1</v>
      </c>
      <c r="D16" s="15">
        <f>B16+(C16/12)</f>
        <v>37.083333333333336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0">
        <f t="shared" si="3"/>
        <v>37.083333333333336</v>
      </c>
      <c r="Q16" s="12">
        <f>Q12+((Q17-Q12)*(($D16-$D12)/($D17-$D12)))</f>
        <v>144.67469655172414</v>
      </c>
      <c r="T16" s="12">
        <f>T14+((T18-T14)*(($D16-$D14)/($D18-$D14)))</f>
        <v>145.23591629505989</v>
      </c>
      <c r="U16" s="12">
        <f t="shared" si="12"/>
        <v>0.46215373563219331</v>
      </c>
      <c r="V16" s="18"/>
      <c r="W16" s="18"/>
      <c r="X16" s="12">
        <f>X14+((X18-X14)*(($D16-$D14)/($D18-$D14)))</f>
        <v>145.32818902233262</v>
      </c>
      <c r="Y16" s="12">
        <f t="shared" si="4"/>
        <v>0.76602873563218243</v>
      </c>
      <c r="Z16" s="18">
        <v>0.88</v>
      </c>
      <c r="AA16" s="18"/>
      <c r="AB16" s="18">
        <f t="shared" si="18"/>
        <v>145.55469655172413</v>
      </c>
      <c r="AC16" s="12">
        <f t="shared" si="5"/>
        <v>0.89267040229886596</v>
      </c>
      <c r="AF16" s="12">
        <f>AF14+((AF18-AF14)*(($D16-$D14)/($D18-$D14)))</f>
        <v>145.86546174960534</v>
      </c>
      <c r="AG16" s="12">
        <f t="shared" si="6"/>
        <v>1.1351204022988479</v>
      </c>
      <c r="AI16" s="12">
        <f t="shared" si="7"/>
        <v>37.083333333333336</v>
      </c>
      <c r="AJ16" s="12">
        <f t="shared" si="8"/>
        <v>144.67469655172414</v>
      </c>
      <c r="AK16" s="12">
        <f t="shared" si="13"/>
        <v>145.10130000000001</v>
      </c>
      <c r="AL16" s="12">
        <f t="shared" si="9"/>
        <v>145.3818</v>
      </c>
      <c r="AM16" s="12">
        <f t="shared" si="10"/>
        <v>145.49870000000001</v>
      </c>
      <c r="AN16" s="12">
        <f t="shared" si="11"/>
        <v>145.7225</v>
      </c>
    </row>
    <row r="17" spans="1:40" ht="14.5" customHeight="1" x14ac:dyDescent="0.35">
      <c r="A17" s="12" t="s">
        <v>67</v>
      </c>
      <c r="B17" s="12">
        <v>37</v>
      </c>
      <c r="C17" s="12">
        <v>4</v>
      </c>
      <c r="D17" s="15">
        <f t="shared" si="16"/>
        <v>37.333333333333336</v>
      </c>
      <c r="E17" s="12">
        <v>6.06</v>
      </c>
      <c r="F17" s="16"/>
      <c r="G17" s="16">
        <v>0.1</v>
      </c>
      <c r="H17" s="16">
        <v>0.1</v>
      </c>
      <c r="I17" s="16">
        <v>0.2</v>
      </c>
      <c r="J17" s="16">
        <v>0.3</v>
      </c>
      <c r="K17" s="16">
        <v>0.3</v>
      </c>
      <c r="L17" s="16"/>
      <c r="M17" s="16"/>
      <c r="N17" s="16"/>
      <c r="O17" s="16">
        <f t="shared" si="2"/>
        <v>1</v>
      </c>
      <c r="P17" s="20">
        <f t="shared" si="3"/>
        <v>37.333333333333336</v>
      </c>
      <c r="Q17" s="12">
        <f>$B$49-E17</f>
        <v>144.68780000000001</v>
      </c>
      <c r="T17" s="12">
        <f>T14+((T18-T14)*(($D17-$D14)/($D18-$D14)))</f>
        <v>145.2375248797876</v>
      </c>
      <c r="U17" s="12">
        <f t="shared" si="12"/>
        <v>0.60302083333333156</v>
      </c>
      <c r="W17" s="15"/>
      <c r="X17" s="12">
        <f>X14+((X18-X14)*(($D17-$D14)/($D18-$D14)))</f>
        <v>145.33388851615123</v>
      </c>
      <c r="Y17" s="12">
        <f t="shared" si="4"/>
        <v>1.0120833333333157</v>
      </c>
      <c r="AB17" s="12">
        <f>AB16+((AB19-AB16)*(($D17-$D16)/($D19-$D16)))</f>
        <v>145.56048644134771</v>
      </c>
      <c r="AC17" s="12">
        <f t="shared" si="5"/>
        <v>1.1825625000000044</v>
      </c>
      <c r="AF17" s="12">
        <f>AF14+((AF18-AF14)*(($D17-$D14)/($D18-$D14)))</f>
        <v>145.86025215251487</v>
      </c>
      <c r="AG17" s="12">
        <f t="shared" si="6"/>
        <v>1.5089374999999792</v>
      </c>
      <c r="AI17" s="12">
        <f t="shared" si="7"/>
        <v>37.333333333333336</v>
      </c>
      <c r="AJ17" s="12">
        <f t="shared" si="8"/>
        <v>144.68780000000001</v>
      </c>
      <c r="AK17" s="12">
        <f t="shared" si="13"/>
        <v>145.10130000000001</v>
      </c>
      <c r="AL17" s="12">
        <f t="shared" si="9"/>
        <v>145.3818</v>
      </c>
      <c r="AM17" s="12">
        <f t="shared" si="10"/>
        <v>145.49870000000001</v>
      </c>
      <c r="AN17" s="12">
        <f t="shared" si="11"/>
        <v>145.7225</v>
      </c>
    </row>
    <row r="18" spans="1:40" ht="14.5" customHeight="1" x14ac:dyDescent="0.35">
      <c r="A18" s="12" t="s">
        <v>85</v>
      </c>
      <c r="B18" s="12">
        <v>40</v>
      </c>
      <c r="C18" s="12">
        <v>0</v>
      </c>
      <c r="D18" s="15">
        <f t="shared" si="16"/>
        <v>40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0">
        <f t="shared" si="3"/>
        <v>40</v>
      </c>
      <c r="Q18" s="12">
        <f>Q17+((Q21-Q17)*(($D18-$D17)/($D21-$D17)))</f>
        <v>144.60468311688314</v>
      </c>
      <c r="R18" s="12">
        <v>0.65</v>
      </c>
      <c r="S18" s="12">
        <v>0.06</v>
      </c>
      <c r="T18" s="12">
        <f>Q18+R18</f>
        <v>145.25468311688314</v>
      </c>
      <c r="U18" s="12">
        <f t="shared" si="12"/>
        <v>0.99323376623374315</v>
      </c>
      <c r="V18" s="18">
        <v>0.79</v>
      </c>
      <c r="W18" s="18">
        <v>0.38</v>
      </c>
      <c r="X18" s="18">
        <f>Q18+V18</f>
        <v>145.39468311688313</v>
      </c>
      <c r="Y18" s="12">
        <f t="shared" si="4"/>
        <v>1.5542337662337218</v>
      </c>
      <c r="AB18" s="12">
        <f>AB16+((AB19-AB16)*(($D18-$D16)/($D19-$D16)))</f>
        <v>145.62224526399905</v>
      </c>
      <c r="AC18" s="12">
        <f t="shared" si="5"/>
        <v>1.7880337662337524</v>
      </c>
      <c r="AD18" s="18">
        <v>1.2</v>
      </c>
      <c r="AE18" s="18">
        <v>0.7</v>
      </c>
      <c r="AF18" s="18">
        <f>Q18+AD18</f>
        <v>145.80468311688313</v>
      </c>
      <c r="AG18" s="12">
        <f t="shared" si="6"/>
        <v>2.2356337662337182</v>
      </c>
      <c r="AI18" s="12">
        <f t="shared" si="7"/>
        <v>40</v>
      </c>
      <c r="AJ18" s="12">
        <f t="shared" si="8"/>
        <v>144.60468311688314</v>
      </c>
      <c r="AK18" s="12">
        <f t="shared" si="13"/>
        <v>145.10130000000001</v>
      </c>
      <c r="AL18" s="12">
        <f t="shared" si="9"/>
        <v>145.3818</v>
      </c>
      <c r="AM18" s="12">
        <f t="shared" si="10"/>
        <v>145.49870000000001</v>
      </c>
      <c r="AN18" s="12">
        <f t="shared" si="11"/>
        <v>145.7225</v>
      </c>
    </row>
    <row r="19" spans="1:40" ht="14.5" customHeight="1" x14ac:dyDescent="0.35">
      <c r="A19" s="12" t="s">
        <v>83</v>
      </c>
      <c r="B19" s="12">
        <v>41</v>
      </c>
      <c r="C19" s="12">
        <v>4</v>
      </c>
      <c r="D19" s="15">
        <f t="shared" si="16"/>
        <v>41.333333333333336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0">
        <f t="shared" si="3"/>
        <v>41.333333333333336</v>
      </c>
      <c r="Q19" s="12">
        <f>Q17+((Q21-Q17)*(($D19-$D17)/($D21-$D17)))</f>
        <v>144.5631246753247</v>
      </c>
      <c r="T19" s="12">
        <f>T18+((T22-T18)*(($D19-$D18)/($D22-$D18)))</f>
        <v>145.21686635652907</v>
      </c>
      <c r="U19" s="12">
        <f t="shared" si="12"/>
        <v>0.91938284632031686</v>
      </c>
      <c r="V19" s="18"/>
      <c r="W19" s="18"/>
      <c r="X19" s="12">
        <f>X18+((X22-X18)*(($D19-$D18)/($D22-$D18)))</f>
        <v>145.33019968986238</v>
      </c>
      <c r="Y19" s="12">
        <f t="shared" si="4"/>
        <v>1.3985703463202983</v>
      </c>
      <c r="Z19" s="18">
        <v>1.0900000000000001</v>
      </c>
      <c r="AA19" s="18">
        <v>0.32</v>
      </c>
      <c r="AB19" s="18">
        <f t="shared" ref="AB19:AB20" si="19">Q19+Z19</f>
        <v>145.6531246753247</v>
      </c>
      <c r="AC19" s="12">
        <f t="shared" si="5"/>
        <v>1.5982745129869911</v>
      </c>
      <c r="AF19" s="12">
        <f>AF18+((AF22-AF18)*(($D19-$D18)/($D22-$D18)))</f>
        <v>145.70353302319572</v>
      </c>
      <c r="AG19" s="12">
        <f t="shared" si="6"/>
        <v>1.9805995129869616</v>
      </c>
      <c r="AI19" s="12">
        <f t="shared" si="7"/>
        <v>41.333333333333336</v>
      </c>
      <c r="AJ19" s="12">
        <f t="shared" si="8"/>
        <v>144.5631246753247</v>
      </c>
      <c r="AK19" s="12">
        <f t="shared" si="13"/>
        <v>145.10130000000001</v>
      </c>
      <c r="AL19" s="12">
        <f t="shared" si="9"/>
        <v>145.3818</v>
      </c>
      <c r="AM19" s="12">
        <f t="shared" si="10"/>
        <v>145.49870000000001</v>
      </c>
      <c r="AN19" s="12">
        <f t="shared" si="11"/>
        <v>145.7225</v>
      </c>
    </row>
    <row r="20" spans="1:40" ht="14.5" customHeight="1" x14ac:dyDescent="0.35">
      <c r="A20" s="12" t="s">
        <v>83</v>
      </c>
      <c r="B20" s="12">
        <v>43</v>
      </c>
      <c r="C20" s="12">
        <v>5</v>
      </c>
      <c r="D20" s="15">
        <f t="shared" si="16"/>
        <v>43.416666666666664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0">
        <f t="shared" si="3"/>
        <v>43.416666666666664</v>
      </c>
      <c r="Q20" s="12">
        <f>Q17+((Q21-Q17)*(($D20-$D17)/($D21-$D17)))</f>
        <v>144.49818961038963</v>
      </c>
      <c r="T20" s="12">
        <f>T18+((T22-T18)*(($D20-$D18)/($D22-$D18)))</f>
        <v>145.15777766847583</v>
      </c>
      <c r="U20" s="12">
        <f t="shared" si="12"/>
        <v>0.72875838744587351</v>
      </c>
      <c r="V20" s="18"/>
      <c r="W20" s="18"/>
      <c r="X20" s="12">
        <f>X18+((X22-X18)*(($D20-$D18)/($D22-$D18)))</f>
        <v>145.22944433514249</v>
      </c>
      <c r="Y20" s="12">
        <f t="shared" si="4"/>
        <v>1.0676958874458602</v>
      </c>
      <c r="Z20" s="18">
        <v>0.98</v>
      </c>
      <c r="AA20" s="18"/>
      <c r="AB20" s="18">
        <f t="shared" si="19"/>
        <v>145.47818961038962</v>
      </c>
      <c r="AC20" s="12">
        <f t="shared" si="5"/>
        <v>1.2089500541125453</v>
      </c>
      <c r="AF20" s="12">
        <f>AF18+((AF22-AF18)*(($D20-$D18)/($D22-$D18)))</f>
        <v>145.54548600180917</v>
      </c>
      <c r="AG20" s="12">
        <f t="shared" si="6"/>
        <v>1.4793750541125243</v>
      </c>
      <c r="AI20" s="12">
        <f t="shared" si="7"/>
        <v>43.416666666666664</v>
      </c>
      <c r="AJ20" s="12">
        <f t="shared" si="8"/>
        <v>144.49818961038963</v>
      </c>
      <c r="AK20" s="12">
        <f t="shared" si="13"/>
        <v>145.10130000000001</v>
      </c>
      <c r="AL20" s="12">
        <f t="shared" si="9"/>
        <v>145.3818</v>
      </c>
      <c r="AM20" s="12">
        <f t="shared" si="10"/>
        <v>145.49870000000001</v>
      </c>
      <c r="AN20" s="12">
        <f t="shared" si="11"/>
        <v>145.7225</v>
      </c>
    </row>
    <row r="21" spans="1:40" ht="14.5" customHeight="1" x14ac:dyDescent="0.35">
      <c r="A21" s="12" t="s">
        <v>67</v>
      </c>
      <c r="B21" s="12">
        <v>43</v>
      </c>
      <c r="C21" s="12">
        <v>9</v>
      </c>
      <c r="D21" s="15">
        <f t="shared" si="16"/>
        <v>43.75</v>
      </c>
      <c r="E21" s="12">
        <v>6.26</v>
      </c>
      <c r="F21" s="16"/>
      <c r="G21" s="16">
        <v>0.2</v>
      </c>
      <c r="H21" s="16">
        <v>0.1</v>
      </c>
      <c r="I21" s="16">
        <v>0.2</v>
      </c>
      <c r="J21" s="16">
        <v>0.3</v>
      </c>
      <c r="K21" s="16">
        <v>0.2</v>
      </c>
      <c r="L21" s="16"/>
      <c r="M21" s="16"/>
      <c r="N21" s="16"/>
      <c r="O21" s="16">
        <f t="shared" si="2"/>
        <v>1</v>
      </c>
      <c r="P21" s="20">
        <f t="shared" si="3"/>
        <v>43.75</v>
      </c>
      <c r="Q21" s="12">
        <f>$B$49-E21</f>
        <v>144.48780000000002</v>
      </c>
      <c r="T21" s="12">
        <f>T18+((T22-T18)*(($D21-$D18)/($D22-$D18)))</f>
        <v>145.14832347838731</v>
      </c>
      <c r="U21" s="12">
        <f t="shared" si="12"/>
        <v>0.17893749999999714</v>
      </c>
      <c r="W21" s="15"/>
      <c r="X21" s="12">
        <f>X18+((X22-X18)*(($D21-$D18)/($D22-$D18)))</f>
        <v>145.21332347838731</v>
      </c>
      <c r="Y21" s="12">
        <f t="shared" si="4"/>
        <v>0.26074999999999438</v>
      </c>
      <c r="AB21" s="12">
        <f>AB20+((AB23-AB20)*(($D21-$D20)/($D23-$D20)))</f>
        <v>145.48256255088197</v>
      </c>
      <c r="AC21" s="12">
        <f t="shared" si="5"/>
        <v>0.29484583333333231</v>
      </c>
      <c r="AF21" s="12">
        <f>AF18+((AF22-AF18)*(($D21-$D18)/($D22-$D18)))</f>
        <v>145.52019847838733</v>
      </c>
      <c r="AG21" s="12">
        <f t="shared" si="6"/>
        <v>0.36012083333332756</v>
      </c>
      <c r="AI21" s="12">
        <f t="shared" si="7"/>
        <v>43.75</v>
      </c>
      <c r="AJ21" s="12">
        <f t="shared" si="8"/>
        <v>144.48780000000002</v>
      </c>
      <c r="AK21" s="12">
        <f t="shared" si="13"/>
        <v>145.10130000000001</v>
      </c>
      <c r="AL21" s="12">
        <f t="shared" si="9"/>
        <v>145.3818</v>
      </c>
      <c r="AM21" s="12">
        <f t="shared" si="10"/>
        <v>145.49870000000001</v>
      </c>
      <c r="AN21" s="12">
        <f t="shared" si="11"/>
        <v>145.7225</v>
      </c>
    </row>
    <row r="22" spans="1:40" ht="14.5" customHeight="1" x14ac:dyDescent="0.35">
      <c r="A22" s="12" t="s">
        <v>85</v>
      </c>
      <c r="B22" s="12">
        <v>44</v>
      </c>
      <c r="C22" s="12">
        <v>0</v>
      </c>
      <c r="D22" s="15">
        <f t="shared" si="16"/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0">
        <f t="shared" si="3"/>
        <v>44</v>
      </c>
      <c r="Q22" s="12">
        <f>Q21+((Q25-Q21)*(($D22-$D21)/($D25-$D21)))</f>
        <v>144.50123283582093</v>
      </c>
      <c r="R22" s="12">
        <v>0.64</v>
      </c>
      <c r="S22" s="12">
        <v>0.16</v>
      </c>
      <c r="T22" s="12">
        <f>Q22+R22</f>
        <v>145.14123283582092</v>
      </c>
      <c r="U22" s="12">
        <f t="shared" si="12"/>
        <v>0.70007835820892761</v>
      </c>
      <c r="V22" s="18">
        <v>0.7</v>
      </c>
      <c r="W22" s="18">
        <v>0.3</v>
      </c>
      <c r="X22" s="18">
        <f>Q22+V22</f>
        <v>145.20123283582092</v>
      </c>
      <c r="Y22" s="12">
        <f t="shared" si="4"/>
        <v>1.0273283582089154</v>
      </c>
      <c r="AB22" s="12">
        <f>AB20+((AB23-AB20)*(($D22-$D20)/($D23-$D20)))</f>
        <v>145.48584225625123</v>
      </c>
      <c r="AC22" s="12">
        <f t="shared" si="5"/>
        <v>1.1637116915422669</v>
      </c>
      <c r="AD22" s="18">
        <v>1</v>
      </c>
      <c r="AE22" s="18">
        <v>0.67</v>
      </c>
      <c r="AF22" s="18">
        <f>Q22+AD22</f>
        <v>145.50123283582093</v>
      </c>
      <c r="AG22" s="12">
        <f t="shared" si="6"/>
        <v>1.4248116915422473</v>
      </c>
      <c r="AI22" s="12">
        <f t="shared" si="7"/>
        <v>44</v>
      </c>
      <c r="AJ22" s="12">
        <f t="shared" si="8"/>
        <v>144.50123283582093</v>
      </c>
      <c r="AK22" s="12">
        <f t="shared" si="13"/>
        <v>145.10130000000001</v>
      </c>
      <c r="AL22" s="12">
        <f t="shared" si="9"/>
        <v>145.3818</v>
      </c>
      <c r="AM22" s="12">
        <f t="shared" si="10"/>
        <v>145.49870000000001</v>
      </c>
      <c r="AN22" s="12">
        <f t="shared" si="11"/>
        <v>145.7225</v>
      </c>
    </row>
    <row r="23" spans="1:40" ht="14.5" customHeight="1" x14ac:dyDescent="0.35">
      <c r="A23" s="12" t="s">
        <v>83</v>
      </c>
      <c r="B23" s="12">
        <v>46</v>
      </c>
      <c r="C23" s="12">
        <v>1</v>
      </c>
      <c r="D23" s="15">
        <f t="shared" si="16"/>
        <v>46.083333333333336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0">
        <f t="shared" si="3"/>
        <v>46.083333333333336</v>
      </c>
      <c r="Q23" s="12">
        <f>Q21+((Q25-Q21)*(($D23-$D21)/($D25-$D21)))</f>
        <v>144.61317313432838</v>
      </c>
      <c r="T23" s="12">
        <f>T22+((T28-T22)*(($D23-$D22)/($D28-$D22)))</f>
        <v>145.11762073758194</v>
      </c>
      <c r="U23" s="12">
        <f t="shared" si="12"/>
        <v>0.9762537313432631</v>
      </c>
      <c r="V23" s="18"/>
      <c r="W23" s="18"/>
      <c r="X23" s="12">
        <f>X22+((X28-X22)*(($D23-$D22)/($D28-$D22)))</f>
        <v>145.21465777461898</v>
      </c>
      <c r="Y23" s="12">
        <f t="shared" si="4"/>
        <v>1.5372537313432417</v>
      </c>
      <c r="Z23" s="18">
        <v>0.9</v>
      </c>
      <c r="AA23" s="18">
        <v>0.46</v>
      </c>
      <c r="AB23" s="18">
        <f t="shared" ref="AB23:AB24" si="20">Q23+Z23</f>
        <v>145.51317313432838</v>
      </c>
      <c r="AC23" s="12">
        <f t="shared" si="5"/>
        <v>1.7710537313432724</v>
      </c>
      <c r="AF23" s="12">
        <f>AF22+((AF28-AF22)*(($D23-$D22)/($D28-$D22)))</f>
        <v>145.52160221906345</v>
      </c>
      <c r="AG23" s="12">
        <f t="shared" si="6"/>
        <v>2.2186537313432382</v>
      </c>
      <c r="AI23" s="12">
        <f t="shared" si="7"/>
        <v>46.083333333333336</v>
      </c>
      <c r="AJ23" s="12">
        <f t="shared" si="8"/>
        <v>144.61317313432838</v>
      </c>
      <c r="AK23" s="12">
        <f t="shared" si="13"/>
        <v>145.10130000000001</v>
      </c>
      <c r="AL23" s="12">
        <f t="shared" si="9"/>
        <v>145.3818</v>
      </c>
      <c r="AM23" s="12">
        <f t="shared" si="10"/>
        <v>145.49870000000001</v>
      </c>
      <c r="AN23" s="12">
        <f t="shared" si="11"/>
        <v>145.7225</v>
      </c>
    </row>
    <row r="24" spans="1:40" ht="14.5" customHeight="1" x14ac:dyDescent="0.35">
      <c r="A24" s="12" t="s">
        <v>83</v>
      </c>
      <c r="B24" s="12">
        <v>48</v>
      </c>
      <c r="C24" s="12">
        <v>0</v>
      </c>
      <c r="D24" s="15">
        <f t="shared" si="16"/>
        <v>48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0">
        <f t="shared" si="3"/>
        <v>48</v>
      </c>
      <c r="Q24" s="12">
        <f>Q21+((Q25-Q21)*(($D24-$D21)/($D25-$D21)))</f>
        <v>144.71615820895522</v>
      </c>
      <c r="T24" s="12">
        <f>T22+((T28-T22)*(($D24-$D22)/($D28-$D22)))</f>
        <v>145.09589760720212</v>
      </c>
      <c r="U24" s="12">
        <f t="shared" si="12"/>
        <v>0.62585541044778026</v>
      </c>
      <c r="V24" s="18"/>
      <c r="W24" s="18"/>
      <c r="X24" s="12">
        <f>X22+((X28-X22)*(($D24-$D22)/($D28-$D22)))</f>
        <v>145.22700871831321</v>
      </c>
      <c r="Y24" s="12">
        <f t="shared" si="4"/>
        <v>1.0816679104477629</v>
      </c>
      <c r="Z24" s="18">
        <v>0.7</v>
      </c>
      <c r="AA24" s="18"/>
      <c r="AB24" s="18">
        <f t="shared" si="20"/>
        <v>145.41615820895521</v>
      </c>
      <c r="AC24" s="12">
        <f t="shared" si="5"/>
        <v>1.2716304104477878</v>
      </c>
      <c r="AF24" s="12">
        <f>AF22+((AF28-AF22)*(($D24-$D22)/($D28-$D22)))</f>
        <v>145.54034205164655</v>
      </c>
      <c r="AG24" s="12">
        <f t="shared" si="6"/>
        <v>1.63530541044776</v>
      </c>
      <c r="AI24" s="12">
        <f t="shared" si="7"/>
        <v>48</v>
      </c>
      <c r="AJ24" s="12">
        <f t="shared" si="8"/>
        <v>144.71615820895522</v>
      </c>
      <c r="AK24" s="12">
        <f t="shared" si="13"/>
        <v>145.10130000000001</v>
      </c>
      <c r="AL24" s="12">
        <f t="shared" si="9"/>
        <v>145.3818</v>
      </c>
      <c r="AM24" s="12">
        <f t="shared" si="10"/>
        <v>145.49870000000001</v>
      </c>
      <c r="AN24" s="12">
        <f t="shared" si="11"/>
        <v>145.7225</v>
      </c>
    </row>
    <row r="25" spans="1:40" ht="14.5" customHeight="1" x14ac:dyDescent="0.35">
      <c r="A25" s="12" t="s">
        <v>67</v>
      </c>
      <c r="B25" s="12">
        <v>49</v>
      </c>
      <c r="C25" s="12">
        <v>4</v>
      </c>
      <c r="D25" s="15">
        <f t="shared" si="16"/>
        <v>49.333333333333336</v>
      </c>
      <c r="E25" s="12">
        <v>5.96</v>
      </c>
      <c r="F25" s="16"/>
      <c r="G25" s="16">
        <v>0.2</v>
      </c>
      <c r="H25" s="16">
        <v>0.1</v>
      </c>
      <c r="I25" s="16">
        <v>0.1</v>
      </c>
      <c r="J25" s="16">
        <v>0.5</v>
      </c>
      <c r="K25" s="16">
        <v>0.1</v>
      </c>
      <c r="L25" s="16"/>
      <c r="M25" s="16"/>
      <c r="N25" s="16"/>
      <c r="O25" s="16">
        <f t="shared" si="2"/>
        <v>1</v>
      </c>
      <c r="P25" s="20">
        <f t="shared" si="3"/>
        <v>49.333333333333336</v>
      </c>
      <c r="Q25" s="12">
        <f>$B$49-E25</f>
        <v>144.7878</v>
      </c>
      <c r="T25" s="12">
        <f>T22+((T28-T22)*(($D25-$D22)/($D28-$D22)))</f>
        <v>145.08078586432916</v>
      </c>
      <c r="U25" s="12">
        <f t="shared" si="12"/>
        <v>0.22206250000000302</v>
      </c>
      <c r="W25" s="15"/>
      <c r="X25" s="12">
        <f>X22+((X28-X22)*(($D25-$D22)/($D28-$D22)))</f>
        <v>145.23560067914397</v>
      </c>
      <c r="Y25" s="12">
        <f t="shared" si="4"/>
        <v>0.42074999999999513</v>
      </c>
      <c r="AB25" s="12">
        <f>AB24+((AB26-AB24)*(($D25-$D24)/($D26-$D24)))</f>
        <v>145.52425804590493</v>
      </c>
      <c r="AC25" s="12">
        <f t="shared" si="5"/>
        <v>0.50355416666667252</v>
      </c>
      <c r="AF25" s="12">
        <f>AF22+((AF28-AF22)*(($D25-$D22)/($D28-$D22)))</f>
        <v>145.55337845692176</v>
      </c>
      <c r="AG25" s="12">
        <f t="shared" si="6"/>
        <v>0.66207916666666011</v>
      </c>
      <c r="AI25" s="12">
        <f t="shared" si="7"/>
        <v>49.333333333333336</v>
      </c>
      <c r="AJ25" s="12">
        <f t="shared" si="8"/>
        <v>144.7878</v>
      </c>
      <c r="AK25" s="12">
        <f t="shared" si="13"/>
        <v>145.10130000000001</v>
      </c>
      <c r="AL25" s="12">
        <f t="shared" si="9"/>
        <v>145.3818</v>
      </c>
      <c r="AM25" s="12">
        <f t="shared" si="10"/>
        <v>145.49870000000001</v>
      </c>
      <c r="AN25" s="12">
        <f t="shared" si="11"/>
        <v>145.7225</v>
      </c>
    </row>
    <row r="26" spans="1:40" ht="14.5" customHeight="1" x14ac:dyDescent="0.35">
      <c r="A26" s="12" t="s">
        <v>83</v>
      </c>
      <c r="B26" s="12">
        <v>49</v>
      </c>
      <c r="C26" s="12">
        <v>5</v>
      </c>
      <c r="D26" s="15">
        <f t="shared" si="16"/>
        <v>49.416666666666664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0">
        <f t="shared" si="3"/>
        <v>49.416666666666664</v>
      </c>
      <c r="Q26" s="12">
        <f>Q25+((Q30-Q25)*(($D26-$D25)/($D30-$D25)))</f>
        <v>144.78101428571429</v>
      </c>
      <c r="T26" s="12">
        <f>T22+((T28-T22)*(($D26-$D22)/($D28-$D22)))</f>
        <v>145.07984138039961</v>
      </c>
      <c r="U26" s="12">
        <f t="shared" si="12"/>
        <v>0.42704761904762223</v>
      </c>
      <c r="W26" s="15"/>
      <c r="X26" s="12">
        <f>X22+((X28-X22)*(($D26-$D22)/($D28-$D22)))</f>
        <v>145.2361376766959</v>
      </c>
      <c r="Y26" s="12">
        <f t="shared" si="4"/>
        <v>0.80104761904760768</v>
      </c>
      <c r="Z26" s="18">
        <v>0.75</v>
      </c>
      <c r="AA26" s="18">
        <v>0.09</v>
      </c>
      <c r="AB26" s="18">
        <f t="shared" ref="AB26:AB27" si="21">Q26+Z26</f>
        <v>145.53101428571429</v>
      </c>
      <c r="AC26" s="12">
        <f t="shared" si="5"/>
        <v>0.9569142857142946</v>
      </c>
      <c r="AF26" s="12">
        <f>AF22+((AF28-AF22)*(($D26-$D22)/($D28-$D22)))</f>
        <v>145.55419323225146</v>
      </c>
      <c r="AG26" s="12">
        <f t="shared" si="6"/>
        <v>1.2553142857142716</v>
      </c>
      <c r="AI26" s="12">
        <f t="shared" si="7"/>
        <v>49.416666666666664</v>
      </c>
      <c r="AJ26" s="12">
        <f t="shared" si="8"/>
        <v>144.78101428571429</v>
      </c>
      <c r="AK26" s="12">
        <f t="shared" si="13"/>
        <v>145.10130000000001</v>
      </c>
      <c r="AL26" s="12">
        <f t="shared" si="9"/>
        <v>145.3818</v>
      </c>
      <c r="AM26" s="12">
        <f t="shared" si="10"/>
        <v>145.49870000000001</v>
      </c>
      <c r="AN26" s="12">
        <f t="shared" si="11"/>
        <v>145.7225</v>
      </c>
    </row>
    <row r="27" spans="1:40" ht="14.5" customHeight="1" x14ac:dyDescent="0.35">
      <c r="A27" s="12" t="s">
        <v>83</v>
      </c>
      <c r="B27" s="12">
        <v>52</v>
      </c>
      <c r="C27" s="12">
        <v>0</v>
      </c>
      <c r="D27" s="15">
        <f t="shared" si="16"/>
        <v>52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0">
        <f t="shared" si="3"/>
        <v>52</v>
      </c>
      <c r="Q27" s="12">
        <f>Q25+((Q30-Q25)*(($D27-$D25)/($D30-$D25)))</f>
        <v>144.57065714285716</v>
      </c>
      <c r="T27" s="12">
        <f>T22+((T28-T22)*(($D27-$D22)/($D28-$D22)))</f>
        <v>145.05056237858329</v>
      </c>
      <c r="U27" s="12">
        <f t="shared" si="12"/>
        <v>0.95073511904760899</v>
      </c>
      <c r="W27" s="15"/>
      <c r="X27" s="12">
        <f>X22+((X28-X22)*(($D27-$D22)/($D28-$D22)))</f>
        <v>145.25278460080551</v>
      </c>
      <c r="Y27" s="12">
        <f t="shared" si="4"/>
        <v>1.4532976190475901</v>
      </c>
      <c r="Z27" s="18">
        <v>0.88</v>
      </c>
      <c r="AA27" s="18"/>
      <c r="AB27" s="18">
        <f t="shared" si="21"/>
        <v>145.45065714285715</v>
      </c>
      <c r="AC27" s="12">
        <f t="shared" si="5"/>
        <v>1.6627434523809512</v>
      </c>
      <c r="AF27" s="12">
        <f>AF22+((AF28-AF22)*(($D27-$D22)/($D28-$D22)))</f>
        <v>145.57945126747217</v>
      </c>
      <c r="AG27" s="12">
        <f t="shared" si="6"/>
        <v>2.0637184523809209</v>
      </c>
      <c r="AI27" s="12">
        <f t="shared" si="7"/>
        <v>52</v>
      </c>
      <c r="AJ27" s="12">
        <f t="shared" si="8"/>
        <v>144.57065714285716</v>
      </c>
      <c r="AK27" s="12">
        <f t="shared" si="13"/>
        <v>145.10130000000001</v>
      </c>
      <c r="AL27" s="12">
        <f t="shared" si="9"/>
        <v>145.3818</v>
      </c>
      <c r="AM27" s="12">
        <f t="shared" si="10"/>
        <v>145.49870000000001</v>
      </c>
      <c r="AN27" s="12">
        <f t="shared" si="11"/>
        <v>145.7225</v>
      </c>
    </row>
    <row r="28" spans="1:40" ht="14.5" customHeight="1" x14ac:dyDescent="0.35">
      <c r="A28" s="12" t="s">
        <v>85</v>
      </c>
      <c r="B28" s="12">
        <v>53</v>
      </c>
      <c r="C28" s="12">
        <v>0</v>
      </c>
      <c r="D28" s="15">
        <f t="shared" si="16"/>
        <v>53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0">
        <f t="shared" si="3"/>
        <v>53</v>
      </c>
      <c r="Q28" s="12">
        <f>Q25+((Q30-Q25)*(($D28-$D25)/($D30-$D25)))</f>
        <v>144.48922857142858</v>
      </c>
      <c r="R28" s="12">
        <v>0.55000000000000004</v>
      </c>
      <c r="S28" s="12">
        <v>0.01</v>
      </c>
      <c r="T28" s="12">
        <f>Q28+R28</f>
        <v>145.03922857142859</v>
      </c>
      <c r="U28" s="12">
        <f t="shared" si="12"/>
        <v>0.4845565476190461</v>
      </c>
      <c r="V28" s="18">
        <v>0.77</v>
      </c>
      <c r="W28" s="18">
        <v>0.16</v>
      </c>
      <c r="X28" s="18">
        <f>Q28+V28</f>
        <v>145.25922857142859</v>
      </c>
      <c r="Y28" s="12">
        <f t="shared" si="4"/>
        <v>0.70661904761903793</v>
      </c>
      <c r="AB28" s="12">
        <f>AB27+((AB29-AB27)*(($D28-$D27)/($D29-$D27)))</f>
        <v>145.47028120300752</v>
      </c>
      <c r="AC28" s="12">
        <f t="shared" si="5"/>
        <v>0.79916488095238358</v>
      </c>
      <c r="AD28" s="18">
        <v>1.1000000000000001</v>
      </c>
      <c r="AE28" s="18">
        <v>0.22</v>
      </c>
      <c r="AF28" s="18">
        <f>Q28+AD28</f>
        <v>145.58922857142858</v>
      </c>
      <c r="AG28" s="12">
        <f t="shared" si="6"/>
        <v>0.97633988095237023</v>
      </c>
      <c r="AI28" s="12">
        <f t="shared" si="7"/>
        <v>53</v>
      </c>
      <c r="AJ28" s="12">
        <f t="shared" si="8"/>
        <v>144.48922857142858</v>
      </c>
      <c r="AK28" s="12">
        <f t="shared" si="13"/>
        <v>145.10130000000001</v>
      </c>
      <c r="AL28" s="12">
        <f t="shared" si="9"/>
        <v>145.3818</v>
      </c>
      <c r="AM28" s="12">
        <f t="shared" si="10"/>
        <v>145.49870000000001</v>
      </c>
      <c r="AN28" s="12">
        <f t="shared" si="11"/>
        <v>145.7225</v>
      </c>
    </row>
    <row r="29" spans="1:40" ht="14.5" customHeight="1" x14ac:dyDescent="0.35">
      <c r="A29" s="12" t="s">
        <v>83</v>
      </c>
      <c r="B29" s="12">
        <v>53</v>
      </c>
      <c r="C29" s="12">
        <v>7</v>
      </c>
      <c r="D29" s="15">
        <f t="shared" si="16"/>
        <v>53.583333333333336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0">
        <f t="shared" si="3"/>
        <v>53.583333333333336</v>
      </c>
      <c r="Q29" s="12">
        <f>Q25+((Q30-Q25)*(($D29-$D25)/($D30-$D25)))</f>
        <v>144.44172857142857</v>
      </c>
      <c r="T29" s="12">
        <v>145.03922857142859</v>
      </c>
      <c r="U29" s="12">
        <f t="shared" si="12"/>
        <v>0.32978571428571968</v>
      </c>
      <c r="V29" s="18"/>
      <c r="W29" s="18"/>
      <c r="X29" s="12">
        <f>X28+((X34-X28)*(($D29-$D28)/($D34-$D28)))</f>
        <v>145.28579422799424</v>
      </c>
      <c r="Y29" s="12">
        <f t="shared" si="4"/>
        <v>0.47003571428571433</v>
      </c>
      <c r="Z29" s="18">
        <v>1.04</v>
      </c>
      <c r="AA29" s="18">
        <v>0.28999999999999998</v>
      </c>
      <c r="AB29" s="18">
        <f>Q29+Z29</f>
        <v>145.48172857142856</v>
      </c>
      <c r="AC29" s="12">
        <f t="shared" si="5"/>
        <v>0.528485714285722</v>
      </c>
      <c r="AF29" s="12">
        <f>AF28+((AF34-AF28)*(($D29-$D28)/($D34-$D28)))</f>
        <v>145.60306695526697</v>
      </c>
      <c r="AG29" s="12">
        <f t="shared" si="6"/>
        <v>0.64038571428571345</v>
      </c>
      <c r="AI29" s="12">
        <f t="shared" si="7"/>
        <v>53.583333333333336</v>
      </c>
      <c r="AJ29" s="12">
        <f t="shared" si="8"/>
        <v>144.44172857142857</v>
      </c>
      <c r="AK29" s="12">
        <f t="shared" si="13"/>
        <v>145.10130000000001</v>
      </c>
      <c r="AL29" s="12">
        <f t="shared" si="9"/>
        <v>145.3818</v>
      </c>
      <c r="AM29" s="12">
        <f t="shared" si="10"/>
        <v>145.49870000000001</v>
      </c>
      <c r="AN29" s="12">
        <f t="shared" si="11"/>
        <v>145.7225</v>
      </c>
    </row>
    <row r="30" spans="1:40" ht="14.5" customHeight="1" x14ac:dyDescent="0.35">
      <c r="A30" s="12" t="s">
        <v>67</v>
      </c>
      <c r="B30" s="12">
        <v>54</v>
      </c>
      <c r="C30" s="12">
        <v>0</v>
      </c>
      <c r="D30" s="15">
        <f t="shared" si="16"/>
        <v>54</v>
      </c>
      <c r="E30" s="12">
        <v>6.34</v>
      </c>
      <c r="F30" s="16"/>
      <c r="G30" s="16">
        <v>0.2</v>
      </c>
      <c r="H30" s="16">
        <v>0.1</v>
      </c>
      <c r="I30" s="16">
        <v>0.1</v>
      </c>
      <c r="J30" s="16">
        <v>0.5</v>
      </c>
      <c r="K30" s="16">
        <v>0.1</v>
      </c>
      <c r="L30" s="16"/>
      <c r="M30" s="16"/>
      <c r="N30" s="16"/>
      <c r="O30" s="16">
        <f t="shared" si="2"/>
        <v>1</v>
      </c>
      <c r="P30" s="20">
        <f t="shared" si="3"/>
        <v>54</v>
      </c>
      <c r="Q30" s="12">
        <f>$B$49-E30</f>
        <v>144.40780000000001</v>
      </c>
      <c r="T30" s="12">
        <f>T28</f>
        <v>145.03922857142859</v>
      </c>
      <c r="U30" s="12">
        <f t="shared" si="12"/>
        <v>0.57791666666666608</v>
      </c>
      <c r="W30" s="15"/>
      <c r="X30" s="12">
        <f>X28+((X34-X28)*(($D30-$D28)/($D34-$D28)))</f>
        <v>145.30476969696971</v>
      </c>
      <c r="Y30" s="12">
        <f t="shared" si="4"/>
        <v>0.81166666666665677</v>
      </c>
      <c r="AB30" s="12">
        <f>AB29+((AB31-AB29)*(($D30-$D29)/($D31-$D29)))</f>
        <v>145.426667481203</v>
      </c>
      <c r="AC30" s="12">
        <f t="shared" si="5"/>
        <v>0.90908333333333613</v>
      </c>
      <c r="AF30" s="12">
        <f>AF28+((AF34-AF28)*(($D30-$D28)/($D34-$D28)))</f>
        <v>145.61295151515154</v>
      </c>
      <c r="AG30" s="12">
        <f t="shared" si="6"/>
        <v>1.0955833333333216</v>
      </c>
      <c r="AI30" s="12">
        <f t="shared" si="7"/>
        <v>54</v>
      </c>
      <c r="AJ30" s="12">
        <f t="shared" si="8"/>
        <v>144.40780000000001</v>
      </c>
      <c r="AK30" s="12">
        <f t="shared" si="13"/>
        <v>145.10130000000001</v>
      </c>
      <c r="AL30" s="12">
        <f t="shared" si="9"/>
        <v>145.3818</v>
      </c>
      <c r="AM30" s="12">
        <f t="shared" si="10"/>
        <v>145.49870000000001</v>
      </c>
      <c r="AN30" s="12">
        <f t="shared" si="11"/>
        <v>145.7225</v>
      </c>
    </row>
    <row r="31" spans="1:40" ht="14.5" customHeight="1" x14ac:dyDescent="0.35">
      <c r="A31" s="12" t="s">
        <v>83</v>
      </c>
      <c r="B31" s="12">
        <v>55</v>
      </c>
      <c r="C31" s="12">
        <v>3</v>
      </c>
      <c r="D31" s="15">
        <f t="shared" si="16"/>
        <v>55.25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0">
        <f t="shared" si="3"/>
        <v>55.25</v>
      </c>
      <c r="Q31" s="12">
        <f>Q30+((Q33-Q30)*(($D31-$D30)/($D33-$D30)))</f>
        <v>144.28148421052632</v>
      </c>
      <c r="T31" s="12">
        <v>145.03922857142859</v>
      </c>
      <c r="U31" s="12">
        <f t="shared" si="12"/>
        <v>0.61486184210527028</v>
      </c>
      <c r="W31" s="15"/>
      <c r="X31" s="12">
        <f>X28+((X34-X28)*(($D31-$D28)/($D34-$D28)))</f>
        <v>145.36169610389612</v>
      </c>
      <c r="Y31" s="12">
        <f t="shared" si="4"/>
        <v>0.82523684210526227</v>
      </c>
      <c r="Z31" s="18">
        <v>0.98</v>
      </c>
      <c r="AB31" s="18">
        <f t="shared" ref="AB31:AB32" si="22">Q31+Z31</f>
        <v>145.26148421052631</v>
      </c>
      <c r="AC31" s="12">
        <f t="shared" si="5"/>
        <v>0.91291184210527376</v>
      </c>
      <c r="AF31" s="12">
        <f>AF28+((AF34-AF28)*(($D31-$D28)/($D34-$D28)))</f>
        <v>145.64260519480521</v>
      </c>
      <c r="AG31" s="12">
        <f t="shared" si="6"/>
        <v>1.0807618421052609</v>
      </c>
      <c r="AI31" s="12">
        <f t="shared" si="7"/>
        <v>55.25</v>
      </c>
      <c r="AJ31" s="12">
        <f t="shared" si="8"/>
        <v>144.28148421052632</v>
      </c>
      <c r="AK31" s="12">
        <f t="shared" si="13"/>
        <v>145.10130000000001</v>
      </c>
      <c r="AL31" s="12">
        <f t="shared" si="9"/>
        <v>145.3818</v>
      </c>
      <c r="AM31" s="12">
        <f t="shared" si="10"/>
        <v>145.49870000000001</v>
      </c>
      <c r="AN31" s="12">
        <f t="shared" si="11"/>
        <v>145.7225</v>
      </c>
    </row>
    <row r="32" spans="1:40" ht="14.5" customHeight="1" x14ac:dyDescent="0.35">
      <c r="A32" s="12" t="s">
        <v>83</v>
      </c>
      <c r="B32" s="12">
        <v>55</v>
      </c>
      <c r="C32" s="12">
        <v>6</v>
      </c>
      <c r="D32" s="15">
        <f t="shared" si="16"/>
        <v>55.5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0">
        <f t="shared" si="3"/>
        <v>55.5</v>
      </c>
      <c r="Q32" s="12">
        <f>Q30+((Q33-Q30)*(($D32-$D30)/($D33-$D30)))</f>
        <v>144.25622105263159</v>
      </c>
      <c r="T32" s="12">
        <v>145.03922857142859</v>
      </c>
      <c r="U32" s="12">
        <f t="shared" si="12"/>
        <v>0.14084649122807116</v>
      </c>
      <c r="W32" s="15"/>
      <c r="X32" s="12">
        <f>X28+((X34-X28)*(($D32-$D28)/($D34-$D28)))</f>
        <v>145.37308138528138</v>
      </c>
      <c r="Y32" s="12">
        <f t="shared" si="4"/>
        <v>0.18759649122806973</v>
      </c>
      <c r="Z32" s="18">
        <v>0.98</v>
      </c>
      <c r="AA32" s="12">
        <v>0.13</v>
      </c>
      <c r="AB32" s="18">
        <f t="shared" si="22"/>
        <v>145.23622105263158</v>
      </c>
      <c r="AC32" s="12">
        <f t="shared" si="5"/>
        <v>0.20707982456140575</v>
      </c>
      <c r="AF32" s="12">
        <f>AF28+((AF34-AF28)*(($D32-$D28)/($D34-$D28)))</f>
        <v>145.64853593073593</v>
      </c>
      <c r="AG32" s="12">
        <f t="shared" si="6"/>
        <v>0.24437982456140317</v>
      </c>
      <c r="AI32" s="12">
        <f t="shared" si="7"/>
        <v>55.5</v>
      </c>
      <c r="AJ32" s="12">
        <f t="shared" si="8"/>
        <v>144.25622105263159</v>
      </c>
      <c r="AK32" s="12">
        <f t="shared" si="13"/>
        <v>145.10130000000001</v>
      </c>
      <c r="AL32" s="12">
        <f t="shared" si="9"/>
        <v>145.3818</v>
      </c>
      <c r="AM32" s="12">
        <f t="shared" si="10"/>
        <v>145.49870000000001</v>
      </c>
      <c r="AN32" s="12">
        <f t="shared" si="11"/>
        <v>145.7225</v>
      </c>
    </row>
    <row r="33" spans="1:40" ht="14.5" customHeight="1" x14ac:dyDescent="0.35">
      <c r="A33" s="12" t="s">
        <v>67</v>
      </c>
      <c r="B33" s="12">
        <v>55</v>
      </c>
      <c r="C33" s="12">
        <v>7</v>
      </c>
      <c r="D33" s="15">
        <f t="shared" si="16"/>
        <v>55.583333333333336</v>
      </c>
      <c r="E33" s="12">
        <v>6.5</v>
      </c>
      <c r="F33" s="16"/>
      <c r="G33" s="16"/>
      <c r="H33" s="16"/>
      <c r="I33" s="16"/>
      <c r="J33" s="16"/>
      <c r="K33" s="16"/>
      <c r="L33" s="16"/>
      <c r="M33" s="16">
        <v>1</v>
      </c>
      <c r="N33" s="16"/>
      <c r="O33" s="16">
        <f t="shared" si="2"/>
        <v>1</v>
      </c>
      <c r="P33" s="20">
        <f t="shared" si="3"/>
        <v>55.583333333333336</v>
      </c>
      <c r="Q33" s="12">
        <f>$B$49-E33</f>
        <v>144.24780000000001</v>
      </c>
      <c r="T33" s="12">
        <f>T30</f>
        <v>145.03922857142859</v>
      </c>
      <c r="U33" s="12">
        <f t="shared" si="12"/>
        <v>0.1066874999999996</v>
      </c>
      <c r="W33" s="15"/>
      <c r="X33" s="12">
        <f>X28+((X34-X28)*(($D33-$D28)/($D34-$D28)))</f>
        <v>145.37687647907649</v>
      </c>
      <c r="Y33" s="12">
        <f t="shared" si="4"/>
        <v>0.14174999999999827</v>
      </c>
      <c r="AB33" s="12">
        <f>AB32+((AB36-AB32)*(($D33-$D32)/($D36-$D32)))</f>
        <v>145.23704951267055</v>
      </c>
      <c r="AC33" s="12">
        <f t="shared" si="5"/>
        <v>0.15636250000000018</v>
      </c>
      <c r="AF33" s="12">
        <f>AF28+((AF34-AF28)*(($D33-$D28)/($D34-$D28)))</f>
        <v>145.65051284271286</v>
      </c>
      <c r="AG33" s="12">
        <f t="shared" si="6"/>
        <v>0.18433749999999804</v>
      </c>
      <c r="AI33" s="12">
        <f t="shared" si="7"/>
        <v>55.583333333333336</v>
      </c>
      <c r="AJ33" s="12">
        <f t="shared" si="8"/>
        <v>144.24780000000001</v>
      </c>
      <c r="AK33" s="12">
        <f t="shared" si="13"/>
        <v>145.10130000000001</v>
      </c>
      <c r="AL33" s="12">
        <f t="shared" si="9"/>
        <v>145.3818</v>
      </c>
      <c r="AM33" s="12">
        <f t="shared" si="10"/>
        <v>145.49870000000001</v>
      </c>
      <c r="AN33" s="12">
        <f t="shared" si="11"/>
        <v>145.7225</v>
      </c>
    </row>
    <row r="34" spans="1:40" ht="14.5" customHeight="1" x14ac:dyDescent="0.35">
      <c r="A34" s="12" t="s">
        <v>87</v>
      </c>
      <c r="B34" s="12">
        <v>55</v>
      </c>
      <c r="C34" s="12">
        <v>9</v>
      </c>
      <c r="D34" s="15">
        <f t="shared" si="16"/>
        <v>55.75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0">
        <f t="shared" si="3"/>
        <v>55.75</v>
      </c>
      <c r="Q34" s="12">
        <f>Q33+((Q35-Q33)*(($D34-$D33)/($D35-$D33)))</f>
        <v>144.35446666666667</v>
      </c>
      <c r="T34" s="12">
        <f>T33+((T35-T33)*(($D34-$D33)/($D35-$D33)))</f>
        <v>145.03922857142859</v>
      </c>
      <c r="U34" s="12">
        <f t="shared" si="12"/>
        <v>0.46677083333333869</v>
      </c>
      <c r="V34" s="18">
        <v>1.03</v>
      </c>
      <c r="W34" s="18">
        <v>0.13</v>
      </c>
      <c r="X34" s="18">
        <f>Q34+V34</f>
        <v>145.38446666666667</v>
      </c>
      <c r="Y34" s="12">
        <f t="shared" si="4"/>
        <v>0.64208333333333201</v>
      </c>
      <c r="AB34" s="12">
        <f>AB32+((AB36-AB32)*(($D34-$D32)/($D36-$D32)))</f>
        <v>145.23870643274853</v>
      </c>
      <c r="AC34" s="12">
        <f t="shared" si="5"/>
        <v>0.71514583333334159</v>
      </c>
      <c r="AD34" s="18">
        <v>1.3</v>
      </c>
      <c r="AE34" s="18">
        <v>0</v>
      </c>
      <c r="AF34" s="18">
        <f>Q34+AD34</f>
        <v>145.65446666666668</v>
      </c>
      <c r="AG34" s="12">
        <f t="shared" si="6"/>
        <v>0.8550208333333309</v>
      </c>
      <c r="AI34" s="12">
        <f t="shared" si="7"/>
        <v>55.75</v>
      </c>
      <c r="AJ34" s="12">
        <f t="shared" si="8"/>
        <v>144.35446666666667</v>
      </c>
      <c r="AK34" s="12">
        <f t="shared" si="13"/>
        <v>145.10130000000001</v>
      </c>
      <c r="AL34" s="12">
        <f t="shared" si="9"/>
        <v>145.3818</v>
      </c>
      <c r="AM34" s="12">
        <f t="shared" si="10"/>
        <v>145.49870000000001</v>
      </c>
      <c r="AN34" s="12">
        <f t="shared" si="11"/>
        <v>145.7225</v>
      </c>
    </row>
    <row r="35" spans="1:40" ht="14.5" customHeight="1" x14ac:dyDescent="0.35">
      <c r="A35" s="12" t="s">
        <v>67</v>
      </c>
      <c r="B35" s="12">
        <v>56</v>
      </c>
      <c r="C35" s="12">
        <v>10</v>
      </c>
      <c r="D35" s="15">
        <f t="shared" si="16"/>
        <v>56.833333333333336</v>
      </c>
      <c r="E35" s="12">
        <v>5.7</v>
      </c>
      <c r="F35" s="16"/>
      <c r="G35" s="16"/>
      <c r="H35" s="16"/>
      <c r="I35" s="16"/>
      <c r="J35" s="16"/>
      <c r="K35" s="16"/>
      <c r="L35" s="16"/>
      <c r="M35" s="16">
        <v>1</v>
      </c>
      <c r="N35" s="16"/>
      <c r="O35" s="16">
        <f t="shared" si="2"/>
        <v>1</v>
      </c>
      <c r="P35" s="20">
        <f t="shared" si="3"/>
        <v>56.833333333333336</v>
      </c>
      <c r="Q35" s="12">
        <f>$B$49-E35</f>
        <v>145.04780000000002</v>
      </c>
      <c r="T35" s="12">
        <f>T33</f>
        <v>145.03922857142859</v>
      </c>
      <c r="U35" s="12">
        <f t="shared" si="12"/>
        <v>3.3437499999990905E-2</v>
      </c>
      <c r="W35" s="15"/>
      <c r="X35" s="12">
        <v>145.38446666666667</v>
      </c>
      <c r="Y35" s="12">
        <f t="shared" si="4"/>
        <v>0.20874999999998423</v>
      </c>
      <c r="AB35" s="12">
        <f>AB32+((AB36-AB32)*(($D35-$D32)/($D36-$D32)))</f>
        <v>145.24947641325537</v>
      </c>
      <c r="AC35" s="12">
        <f t="shared" si="5"/>
        <v>0.2818124999999938</v>
      </c>
      <c r="AF35" s="12">
        <f>AF34+((AF40-AF34)*(($D35-$D34)/($D40-$D34)))</f>
        <v>145.66650370370371</v>
      </c>
      <c r="AG35" s="12">
        <f t="shared" si="6"/>
        <v>0.42168749999998312</v>
      </c>
      <c r="AI35" s="12">
        <f t="shared" si="7"/>
        <v>56.833333333333336</v>
      </c>
      <c r="AJ35" s="12">
        <f t="shared" si="8"/>
        <v>145.04780000000002</v>
      </c>
      <c r="AK35" s="12">
        <f t="shared" si="13"/>
        <v>145.10130000000001</v>
      </c>
      <c r="AL35" s="12">
        <f t="shared" si="9"/>
        <v>145.3818</v>
      </c>
      <c r="AM35" s="12">
        <f t="shared" si="10"/>
        <v>145.49870000000001</v>
      </c>
      <c r="AN35" s="12">
        <f t="shared" si="11"/>
        <v>145.7225</v>
      </c>
    </row>
    <row r="36" spans="1:40" ht="14.5" customHeight="1" x14ac:dyDescent="0.35">
      <c r="A36" s="12" t="s">
        <v>83</v>
      </c>
      <c r="B36" s="12">
        <v>57</v>
      </c>
      <c r="C36" s="12">
        <v>0</v>
      </c>
      <c r="D36" s="15">
        <f t="shared" si="16"/>
        <v>57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20">
        <f t="shared" si="3"/>
        <v>57</v>
      </c>
      <c r="Q36" s="12">
        <f>Q35+((Q37-Q35)*(($D36-$D35)/($D37-$D35)))</f>
        <v>144.80113333333335</v>
      </c>
      <c r="T36" s="12">
        <v>145.03922857142859</v>
      </c>
      <c r="U36" s="12">
        <f t="shared" si="12"/>
        <v>7.5041666666663787E-2</v>
      </c>
      <c r="W36" s="15"/>
      <c r="X36" s="12">
        <v>145.38446666666667</v>
      </c>
      <c r="Y36" s="12">
        <f t="shared" si="4"/>
        <v>0.14516666666666111</v>
      </c>
      <c r="Z36" s="18">
        <v>0.45</v>
      </c>
      <c r="AB36" s="18">
        <f>Q36+Z36</f>
        <v>145.25113333333334</v>
      </c>
      <c r="AC36" s="12">
        <f t="shared" si="5"/>
        <v>0.17439166666666495</v>
      </c>
      <c r="AF36" s="12">
        <f>AF34+((AF40-AF34)*(($D36-$D34)/($D40-$D34)))</f>
        <v>145.66835555555556</v>
      </c>
      <c r="AG36" s="12">
        <f t="shared" si="6"/>
        <v>0.23034166666666067</v>
      </c>
      <c r="AI36" s="12">
        <f t="shared" si="7"/>
        <v>57</v>
      </c>
      <c r="AJ36" s="12">
        <f t="shared" si="8"/>
        <v>144.80113333333335</v>
      </c>
      <c r="AK36" s="12">
        <f t="shared" si="13"/>
        <v>145.10130000000001</v>
      </c>
      <c r="AL36" s="12">
        <f t="shared" si="9"/>
        <v>145.3818</v>
      </c>
      <c r="AM36" s="12">
        <f t="shared" si="10"/>
        <v>145.49870000000001</v>
      </c>
      <c r="AN36" s="12">
        <f t="shared" si="11"/>
        <v>145.7225</v>
      </c>
    </row>
    <row r="37" spans="1:40" ht="14.5" customHeight="1" x14ac:dyDescent="0.35">
      <c r="A37" s="12" t="s">
        <v>67</v>
      </c>
      <c r="B37" s="12">
        <v>57</v>
      </c>
      <c r="C37" s="12">
        <v>4</v>
      </c>
      <c r="D37" s="15">
        <f t="shared" si="16"/>
        <v>57.333333333333336</v>
      </c>
      <c r="E37" s="12">
        <v>6.44</v>
      </c>
      <c r="F37" s="16"/>
      <c r="G37" s="16">
        <v>0.7</v>
      </c>
      <c r="H37" s="16"/>
      <c r="I37" s="16">
        <v>0.3</v>
      </c>
      <c r="J37" s="16"/>
      <c r="K37" s="16"/>
      <c r="L37" s="16"/>
      <c r="M37" s="16"/>
      <c r="N37" s="16"/>
      <c r="O37" s="16">
        <f t="shared" si="2"/>
        <v>1</v>
      </c>
      <c r="P37" s="20">
        <f t="shared" si="3"/>
        <v>57.333333333333336</v>
      </c>
      <c r="Q37" s="12">
        <f>$B$49-E37</f>
        <v>144.30780000000001</v>
      </c>
      <c r="T37" s="12">
        <f t="shared" ref="T37" si="23">T35</f>
        <v>145.03922857142859</v>
      </c>
      <c r="U37" s="12">
        <f t="shared" si="12"/>
        <v>0.16531249999999792</v>
      </c>
      <c r="W37" s="15"/>
      <c r="X37" s="12">
        <v>145.38446666666667</v>
      </c>
      <c r="Y37" s="12">
        <f t="shared" si="4"/>
        <v>0.22374999999999537</v>
      </c>
      <c r="AB37" s="12">
        <f>AB36+((AB38-AB36)*(($D37-$D36)/($D38-$D36)))</f>
        <v>145.1284666666667</v>
      </c>
      <c r="AC37" s="12">
        <f t="shared" si="5"/>
        <v>0.2481041666666651</v>
      </c>
      <c r="AF37" s="12">
        <f>AF34+((AF40-AF34)*(($D37-$D34)/($D40-$D34)))</f>
        <v>145.67205925925927</v>
      </c>
      <c r="AG37" s="12">
        <f t="shared" si="6"/>
        <v>0.29472916666666127</v>
      </c>
      <c r="AI37" s="12">
        <f t="shared" si="7"/>
        <v>57.333333333333336</v>
      </c>
      <c r="AJ37" s="12">
        <f t="shared" si="8"/>
        <v>144.30780000000001</v>
      </c>
      <c r="AK37" s="12">
        <f t="shared" si="13"/>
        <v>145.10130000000001</v>
      </c>
      <c r="AL37" s="12">
        <f t="shared" si="9"/>
        <v>145.3818</v>
      </c>
      <c r="AM37" s="12">
        <f t="shared" si="10"/>
        <v>145.49870000000001</v>
      </c>
      <c r="AN37" s="12">
        <f t="shared" si="11"/>
        <v>145.7225</v>
      </c>
    </row>
    <row r="38" spans="1:40" ht="14.5" customHeight="1" x14ac:dyDescent="0.35">
      <c r="A38" s="12" t="s">
        <v>83</v>
      </c>
      <c r="B38" s="12">
        <v>57</v>
      </c>
      <c r="C38" s="12">
        <v>5</v>
      </c>
      <c r="D38" s="15">
        <f t="shared" si="16"/>
        <v>57.416666666666664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0">
        <f t="shared" si="3"/>
        <v>57.416666666666664</v>
      </c>
      <c r="Q38" s="12">
        <f>Q37+((Q39-Q37)*(($D38-$D37)/($D39-$D37)))</f>
        <v>144.32780000000002</v>
      </c>
      <c r="T38" s="12">
        <v>145.03922857142859</v>
      </c>
      <c r="U38" s="12">
        <f t="shared" si="12"/>
        <v>1.2569374999999745</v>
      </c>
      <c r="W38" s="15"/>
      <c r="X38" s="12">
        <v>145.38446666666667</v>
      </c>
      <c r="Y38" s="12">
        <f t="shared" si="4"/>
        <v>1.7127499999999571</v>
      </c>
      <c r="Z38" s="18">
        <v>0.77</v>
      </c>
      <c r="AB38" s="18">
        <f>Q38+Z38</f>
        <v>145.09780000000003</v>
      </c>
      <c r="AC38" s="12">
        <f t="shared" si="5"/>
        <v>1.902712499999982</v>
      </c>
      <c r="AF38" s="12">
        <f>AF34+((AF40-AF34)*(($D38-$D34)/($D40-$D34)))</f>
        <v>145.67298518518521</v>
      </c>
      <c r="AG38" s="12">
        <f t="shared" si="6"/>
        <v>2.2663874999999543</v>
      </c>
      <c r="AI38" s="12">
        <f t="shared" si="7"/>
        <v>57.416666666666664</v>
      </c>
      <c r="AJ38" s="12">
        <f t="shared" si="8"/>
        <v>144.32780000000002</v>
      </c>
      <c r="AK38" s="12">
        <f t="shared" si="13"/>
        <v>145.10130000000001</v>
      </c>
      <c r="AL38" s="12">
        <f t="shared" si="9"/>
        <v>145.3818</v>
      </c>
      <c r="AM38" s="12">
        <f t="shared" si="10"/>
        <v>145.49870000000001</v>
      </c>
      <c r="AN38" s="12">
        <f t="shared" si="11"/>
        <v>145.7225</v>
      </c>
    </row>
    <row r="39" spans="1:40" ht="14.5" customHeight="1" x14ac:dyDescent="0.35">
      <c r="A39" s="12" t="s">
        <v>63</v>
      </c>
      <c r="B39" s="12">
        <v>60</v>
      </c>
      <c r="C39" s="12">
        <v>7</v>
      </c>
      <c r="D39" s="15">
        <f t="shared" si="16"/>
        <v>60.583333333333336</v>
      </c>
      <c r="E39" s="12">
        <v>5.66</v>
      </c>
      <c r="F39" s="16"/>
      <c r="G39" s="16">
        <v>0.7</v>
      </c>
      <c r="H39" s="16">
        <v>0.3</v>
      </c>
      <c r="I39" s="16"/>
      <c r="J39" s="16"/>
      <c r="K39" s="16"/>
      <c r="L39" s="16"/>
      <c r="M39" s="16"/>
      <c r="N39" s="16"/>
      <c r="O39" s="16">
        <f t="shared" si="2"/>
        <v>1</v>
      </c>
      <c r="P39" s="20">
        <f t="shared" si="3"/>
        <v>60.583333333333336</v>
      </c>
      <c r="Q39" s="12">
        <f>$B$49-E39</f>
        <v>145.08780000000002</v>
      </c>
      <c r="T39" s="12">
        <f>T37</f>
        <v>145.03922857142859</v>
      </c>
      <c r="U39" s="12">
        <f t="shared" si="12"/>
        <v>2.4187499999988201E-2</v>
      </c>
      <c r="W39" s="15"/>
      <c r="X39" s="12">
        <v>145.38446666666667</v>
      </c>
      <c r="Y39" s="12">
        <f t="shared" si="4"/>
        <v>0.52674999999996941</v>
      </c>
      <c r="AB39" s="12">
        <f>AB38+((AB40-AB38)*(($D39-$D38)/($D40-$D38)))</f>
        <v>145.37617209302326</v>
      </c>
      <c r="AC39" s="12">
        <f t="shared" si="5"/>
        <v>0.73619583333333027</v>
      </c>
      <c r="AF39" s="12">
        <f>AF34+((AF40-AF34)*(($D39-$D34)/($D40-$D34)))</f>
        <v>145.7081703703704</v>
      </c>
      <c r="AG39" s="12">
        <f t="shared" si="6"/>
        <v>1.1371708333332999</v>
      </c>
      <c r="AI39" s="12">
        <f t="shared" si="7"/>
        <v>60.583333333333336</v>
      </c>
      <c r="AJ39" s="12">
        <f t="shared" si="8"/>
        <v>145.08780000000002</v>
      </c>
      <c r="AK39" s="12">
        <f t="shared" si="13"/>
        <v>145.10130000000001</v>
      </c>
      <c r="AL39" s="12">
        <f t="shared" si="9"/>
        <v>145.3818</v>
      </c>
      <c r="AM39" s="12">
        <f t="shared" si="10"/>
        <v>145.49870000000001</v>
      </c>
      <c r="AN39" s="12">
        <f t="shared" si="11"/>
        <v>145.7225</v>
      </c>
    </row>
    <row r="40" spans="1:40" ht="14.5" customHeight="1" x14ac:dyDescent="0.35">
      <c r="A40" s="12" t="s">
        <v>88</v>
      </c>
      <c r="B40" s="12">
        <v>61</v>
      </c>
      <c r="C40" s="12">
        <v>0</v>
      </c>
      <c r="D40" s="15">
        <f t="shared" si="16"/>
        <v>61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0">
        <f t="shared" si="3"/>
        <v>61</v>
      </c>
      <c r="Q40" s="12">
        <f>Q39+((Q41-Q39)*(($D40-$D39)/($D41-$D39)))</f>
        <v>145.31280000000001</v>
      </c>
      <c r="W40" s="15"/>
      <c r="X40" s="12">
        <v>145.38446666666667</v>
      </c>
      <c r="Y40" s="12">
        <f t="shared" si="4"/>
        <v>2.2999999999996051E-2</v>
      </c>
      <c r="Z40" s="18">
        <v>0.1</v>
      </c>
      <c r="AB40" s="18">
        <f>Q40+Z40</f>
        <v>145.4128</v>
      </c>
      <c r="AC40" s="12">
        <f t="shared" si="5"/>
        <v>6.196666666666769E-2</v>
      </c>
      <c r="AD40" s="18">
        <v>0.4</v>
      </c>
      <c r="AE40" s="18">
        <v>0</v>
      </c>
      <c r="AF40" s="18">
        <f>Q40+AD40</f>
        <v>145.71280000000002</v>
      </c>
      <c r="AG40" s="12">
        <f t="shared" si="6"/>
        <v>0.13656666666666173</v>
      </c>
      <c r="AI40" s="12">
        <f t="shared" si="7"/>
        <v>61</v>
      </c>
      <c r="AJ40" s="12">
        <f t="shared" si="8"/>
        <v>145.31280000000001</v>
      </c>
      <c r="AL40" s="12">
        <f t="shared" si="9"/>
        <v>145.3818</v>
      </c>
      <c r="AM40" s="12">
        <f t="shared" si="10"/>
        <v>145.49870000000001</v>
      </c>
      <c r="AN40" s="12">
        <f t="shared" si="11"/>
        <v>145.7225</v>
      </c>
    </row>
    <row r="41" spans="1:40" ht="14.5" customHeight="1" x14ac:dyDescent="0.35">
      <c r="A41" s="12" t="s">
        <v>67</v>
      </c>
      <c r="B41" s="12">
        <v>61</v>
      </c>
      <c r="C41" s="12">
        <v>3</v>
      </c>
      <c r="D41" s="15">
        <f t="shared" si="16"/>
        <v>61.25</v>
      </c>
      <c r="E41" s="12">
        <v>5.3</v>
      </c>
      <c r="F41" s="16"/>
      <c r="G41" s="16">
        <v>1</v>
      </c>
      <c r="H41" s="16"/>
      <c r="I41" s="16"/>
      <c r="J41" s="16"/>
      <c r="K41" s="16"/>
      <c r="L41" s="16"/>
      <c r="M41" s="16"/>
      <c r="N41" s="16"/>
      <c r="O41" s="16">
        <f t="shared" si="2"/>
        <v>1</v>
      </c>
      <c r="P41" s="20">
        <f t="shared" si="3"/>
        <v>61.25</v>
      </c>
      <c r="Q41" s="12">
        <f>$B$49-E41</f>
        <v>145.4478</v>
      </c>
      <c r="W41" s="15"/>
      <c r="X41" s="12">
        <v>145.38446666666667</v>
      </c>
      <c r="Y41" s="12">
        <f t="shared" si="4"/>
        <v>-2.4750000000000938E-2</v>
      </c>
      <c r="AB41" s="12">
        <v>145.4128</v>
      </c>
      <c r="AC41" s="12">
        <f t="shared" si="5"/>
        <v>1.9087500000004809E-2</v>
      </c>
      <c r="AF41" s="12">
        <v>145.71280000000002</v>
      </c>
      <c r="AG41" s="12">
        <f t="shared" si="6"/>
        <v>0.1030124999999984</v>
      </c>
      <c r="AI41" s="12">
        <f t="shared" si="7"/>
        <v>61.25</v>
      </c>
      <c r="AJ41" s="12">
        <f t="shared" si="8"/>
        <v>145.4478</v>
      </c>
      <c r="AL41" s="12">
        <f t="shared" si="9"/>
        <v>145.3818</v>
      </c>
      <c r="AM41" s="12">
        <f t="shared" si="10"/>
        <v>145.49870000000001</v>
      </c>
      <c r="AN41" s="12">
        <f t="shared" si="11"/>
        <v>145.7225</v>
      </c>
    </row>
    <row r="42" spans="1:40" ht="14.5" customHeight="1" x14ac:dyDescent="0.35">
      <c r="A42" s="12" t="s">
        <v>67</v>
      </c>
      <c r="B42" s="12">
        <v>61</v>
      </c>
      <c r="C42" s="12">
        <v>9</v>
      </c>
      <c r="D42" s="15">
        <f t="shared" si="16"/>
        <v>61.75</v>
      </c>
      <c r="E42" s="12">
        <v>5.3</v>
      </c>
      <c r="F42" s="16"/>
      <c r="G42" s="16"/>
      <c r="H42" s="16"/>
      <c r="I42" s="16"/>
      <c r="J42" s="16">
        <v>1</v>
      </c>
      <c r="K42" s="16"/>
      <c r="L42" s="16"/>
      <c r="M42" s="16"/>
      <c r="N42" s="16"/>
      <c r="O42" s="16">
        <f t="shared" si="2"/>
        <v>1</v>
      </c>
      <c r="P42" s="20">
        <f t="shared" si="3"/>
        <v>61.75</v>
      </c>
      <c r="Q42" s="12">
        <f>$B$49-E42</f>
        <v>145.4478</v>
      </c>
      <c r="W42" s="15"/>
      <c r="AF42" s="12">
        <v>145.71280000000002</v>
      </c>
      <c r="AG42" s="12">
        <f t="shared" si="6"/>
        <v>0.19457916666666331</v>
      </c>
      <c r="AI42" s="12">
        <f t="shared" si="7"/>
        <v>61.75</v>
      </c>
      <c r="AJ42" s="12">
        <f t="shared" si="8"/>
        <v>145.4478</v>
      </c>
      <c r="AN42" s="12">
        <f t="shared" si="11"/>
        <v>145.7225</v>
      </c>
    </row>
    <row r="43" spans="1:40" ht="14.5" customHeight="1" x14ac:dyDescent="0.35">
      <c r="A43" s="12" t="s">
        <v>67</v>
      </c>
      <c r="B43" s="12">
        <v>62</v>
      </c>
      <c r="C43" s="12">
        <v>8</v>
      </c>
      <c r="D43" s="15">
        <f t="shared" si="16"/>
        <v>62.666666666666664</v>
      </c>
      <c r="E43" s="12">
        <v>4.7300000000000004</v>
      </c>
      <c r="F43" s="16">
        <v>0.8</v>
      </c>
      <c r="G43" s="16"/>
      <c r="H43" s="16"/>
      <c r="I43" s="16"/>
      <c r="J43" s="16"/>
      <c r="K43" s="16"/>
      <c r="L43" s="16">
        <v>0.2</v>
      </c>
      <c r="M43" s="16"/>
      <c r="N43" s="16"/>
      <c r="O43" s="16">
        <f t="shared" si="2"/>
        <v>1</v>
      </c>
      <c r="P43" s="20">
        <f t="shared" si="3"/>
        <v>62.666666666666664</v>
      </c>
      <c r="Q43" s="12">
        <f>$B$49-E43</f>
        <v>146.01780000000002</v>
      </c>
      <c r="W43" s="15"/>
      <c r="AF43" s="12">
        <v>145.71280000000002</v>
      </c>
      <c r="AG43" s="12">
        <f t="shared" si="6"/>
        <v>-0.34451666666669617</v>
      </c>
      <c r="AI43" s="12">
        <f t="shared" si="7"/>
        <v>62.666666666666664</v>
      </c>
      <c r="AJ43" s="12">
        <f t="shared" si="8"/>
        <v>146.01780000000002</v>
      </c>
      <c r="AN43" s="12">
        <f t="shared" si="11"/>
        <v>145.7225</v>
      </c>
    </row>
    <row r="44" spans="1:40" ht="14.5" customHeight="1" x14ac:dyDescent="0.35">
      <c r="A44" s="12" t="s">
        <v>67</v>
      </c>
      <c r="B44" s="12">
        <v>64</v>
      </c>
      <c r="C44" s="12">
        <v>1</v>
      </c>
      <c r="D44" s="15">
        <f t="shared" si="16"/>
        <v>64.083333333333329</v>
      </c>
      <c r="E44" s="12">
        <v>4.18</v>
      </c>
      <c r="F44" s="16">
        <v>0.2</v>
      </c>
      <c r="G44" s="16"/>
      <c r="H44" s="16"/>
      <c r="I44" s="16"/>
      <c r="J44" s="16"/>
      <c r="K44" s="16"/>
      <c r="L44" s="16">
        <v>0.3</v>
      </c>
      <c r="M44" s="16">
        <v>0.5</v>
      </c>
      <c r="N44" s="16"/>
      <c r="O44" s="16">
        <f t="shared" si="2"/>
        <v>1</v>
      </c>
      <c r="P44" s="20">
        <f t="shared" si="3"/>
        <v>64.083333333333329</v>
      </c>
      <c r="Q44" s="12">
        <f>$B$49-E44</f>
        <v>146.56780000000001</v>
      </c>
      <c r="W44" s="15"/>
      <c r="AI44" s="12">
        <f t="shared" ref="AI44:AI45" si="24">P44</f>
        <v>64.083333333333329</v>
      </c>
      <c r="AJ44" s="12">
        <f t="shared" ref="AJ44:AJ45" si="25">Q44</f>
        <v>146.56780000000001</v>
      </c>
    </row>
    <row r="45" spans="1:40" ht="14.5" customHeight="1" x14ac:dyDescent="0.35">
      <c r="A45" s="12" t="s">
        <v>67</v>
      </c>
      <c r="B45" s="12">
        <v>67</v>
      </c>
      <c r="C45" s="12">
        <v>11</v>
      </c>
      <c r="D45" s="15">
        <f t="shared" si="16"/>
        <v>67.916666666666671</v>
      </c>
      <c r="E45" s="12">
        <v>3.25</v>
      </c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>
        <f t="shared" si="2"/>
        <v>1</v>
      </c>
      <c r="P45" s="20">
        <f t="shared" si="3"/>
        <v>67.916666666666671</v>
      </c>
      <c r="Q45" s="12">
        <f>$B$49-E45</f>
        <v>147.49780000000001</v>
      </c>
      <c r="W45" s="15"/>
      <c r="AI45" s="12">
        <f t="shared" si="24"/>
        <v>67.916666666666671</v>
      </c>
      <c r="AJ45" s="12">
        <f t="shared" si="25"/>
        <v>147.49780000000001</v>
      </c>
    </row>
    <row r="46" spans="1:40" ht="14" customHeight="1" x14ac:dyDescent="0.35">
      <c r="O46" s="16"/>
      <c r="P46" s="20"/>
    </row>
    <row r="47" spans="1:40" ht="14.5" customHeight="1" x14ac:dyDescent="0.35">
      <c r="A47" s="12" t="s">
        <v>55</v>
      </c>
      <c r="B47" s="12">
        <v>149.3878</v>
      </c>
      <c r="C47" s="12" t="s">
        <v>58</v>
      </c>
      <c r="D47" s="15" t="s">
        <v>163</v>
      </c>
      <c r="E47" s="15">
        <f>D39-D4</f>
        <v>37.208333333333336</v>
      </c>
      <c r="F47" s="12" t="s">
        <v>58</v>
      </c>
      <c r="G47" s="20"/>
      <c r="H47" s="12" t="s">
        <v>176</v>
      </c>
      <c r="I47" s="12" t="s">
        <v>167</v>
      </c>
      <c r="J47" s="12" t="s">
        <v>168</v>
      </c>
      <c r="K47" s="12" t="s">
        <v>169</v>
      </c>
      <c r="L47" s="12" t="s">
        <v>170</v>
      </c>
      <c r="M47" s="12" t="s">
        <v>171</v>
      </c>
      <c r="N47" s="12" t="s">
        <v>179</v>
      </c>
      <c r="O47" s="12" t="s">
        <v>180</v>
      </c>
      <c r="P47" s="32" t="s">
        <v>181</v>
      </c>
    </row>
    <row r="48" spans="1:40" ht="14.5" customHeight="1" x14ac:dyDescent="0.35">
      <c r="A48" s="12" t="s">
        <v>57</v>
      </c>
      <c r="B48" s="12">
        <v>1.36</v>
      </c>
      <c r="C48" s="12" t="s">
        <v>58</v>
      </c>
      <c r="G48" s="20" t="s">
        <v>166</v>
      </c>
      <c r="H48" s="18">
        <f>T1F1_Flat_Level</f>
        <v>145.10130000000001</v>
      </c>
      <c r="I48" s="24">
        <v>37.430449879227048</v>
      </c>
      <c r="J48" s="18">
        <v>37.430449879227048</v>
      </c>
      <c r="K48" s="18">
        <v>21.762916666666669</v>
      </c>
      <c r="L48" s="18">
        <v>2.3287541666666667</v>
      </c>
      <c r="M48" s="18">
        <v>0.58142279178815148</v>
      </c>
      <c r="N48" s="18">
        <v>0.10700560969539162</v>
      </c>
      <c r="O48" s="36">
        <v>0.91479714572449</v>
      </c>
      <c r="P48" s="18">
        <v>0.77</v>
      </c>
    </row>
    <row r="49" spans="1:16" ht="14.5" customHeight="1" x14ac:dyDescent="0.35">
      <c r="A49" s="12" t="s">
        <v>59</v>
      </c>
      <c r="B49" s="12">
        <f>B47+B48</f>
        <v>150.74780000000001</v>
      </c>
      <c r="C49" s="12" t="s">
        <v>58</v>
      </c>
      <c r="G49" s="21" t="s">
        <v>172</v>
      </c>
      <c r="H49" s="18">
        <f>T1F2_Flat_Level</f>
        <v>145.3818</v>
      </c>
      <c r="I49" s="18">
        <v>38.04305555555554</v>
      </c>
      <c r="J49" s="18">
        <v>38.04305555555554</v>
      </c>
      <c r="K49" s="18">
        <v>29.44604166666667</v>
      </c>
      <c r="L49" s="18">
        <v>9.0696270833333337</v>
      </c>
      <c r="M49" s="18">
        <v>0.77401883830455298</v>
      </c>
      <c r="N49" s="18">
        <v>0.30800836275390719</v>
      </c>
      <c r="O49" s="36">
        <v>0.92976917854718233</v>
      </c>
      <c r="P49" s="18">
        <v>1.22</v>
      </c>
    </row>
    <row r="50" spans="1:16" ht="14.5" customHeight="1" x14ac:dyDescent="0.35">
      <c r="G50" s="21" t="s">
        <v>173</v>
      </c>
      <c r="H50" s="18">
        <f>T1F3_Flat_Level</f>
        <v>145.49870000000001</v>
      </c>
      <c r="I50" s="18">
        <v>38.785959986015783</v>
      </c>
      <c r="J50" s="18">
        <v>38.785959986015783</v>
      </c>
      <c r="K50" s="18">
        <v>34.592083333333335</v>
      </c>
      <c r="L50" s="18">
        <v>12.564091666666668</v>
      </c>
      <c r="M50" s="18">
        <v>0.89187126851586129</v>
      </c>
      <c r="N50" s="18">
        <v>0.36320714036207707</v>
      </c>
      <c r="O50" s="36">
        <v>0.9479257023058848</v>
      </c>
      <c r="P50" s="18">
        <v>1.4</v>
      </c>
    </row>
    <row r="51" spans="1:16" ht="14.5" customHeight="1" x14ac:dyDescent="0.35">
      <c r="G51" s="21" t="s">
        <v>174</v>
      </c>
      <c r="H51" s="18">
        <f>T1F4_Flat_Level</f>
        <v>145.7225</v>
      </c>
      <c r="I51" s="24">
        <v>39.220201976862427</v>
      </c>
      <c r="J51" s="18">
        <v>39.220201976862427</v>
      </c>
      <c r="K51" s="18">
        <v>44.298750000000005</v>
      </c>
      <c r="L51" s="18">
        <v>23.026191666666666</v>
      </c>
      <c r="M51" s="18">
        <v>1.1294880639863512</v>
      </c>
      <c r="N51" s="18">
        <v>0.51979325977971524</v>
      </c>
      <c r="O51" s="36">
        <v>0.9585385411860472</v>
      </c>
      <c r="P51" s="18">
        <v>1.6</v>
      </c>
    </row>
    <row r="52" spans="1:16" ht="14.5" customHeight="1" x14ac:dyDescent="0.35">
      <c r="O52" s="16"/>
      <c r="P52" s="20"/>
    </row>
    <row r="53" spans="1:16" ht="14.5" customHeight="1" x14ac:dyDescent="0.35">
      <c r="A53" s="12" t="s">
        <v>104</v>
      </c>
      <c r="C53" s="17" t="s">
        <v>13</v>
      </c>
      <c r="D53" s="17" t="s">
        <v>29</v>
      </c>
      <c r="E53" s="12" t="s">
        <v>7</v>
      </c>
      <c r="F53" s="12" t="s">
        <v>3</v>
      </c>
      <c r="H53" s="12" t="s">
        <v>96</v>
      </c>
      <c r="I53" s="12" t="s">
        <v>6</v>
      </c>
      <c r="J53" s="12" t="s">
        <v>94</v>
      </c>
      <c r="K53" s="12" t="s">
        <v>7</v>
      </c>
      <c r="L53" s="12" t="s">
        <v>95</v>
      </c>
      <c r="P53" s="12"/>
    </row>
    <row r="54" spans="1:16" ht="14.5" customHeight="1" x14ac:dyDescent="0.35">
      <c r="C54" s="17"/>
      <c r="D54" s="17"/>
      <c r="H54" s="22">
        <v>23.375</v>
      </c>
      <c r="I54" s="18">
        <f>D54</f>
        <v>0</v>
      </c>
      <c r="J54" s="18">
        <v>0</v>
      </c>
      <c r="K54" s="12">
        <f>E54</f>
        <v>0</v>
      </c>
      <c r="L54" s="18">
        <f>J54*K54</f>
        <v>0</v>
      </c>
      <c r="P54" s="12"/>
    </row>
    <row r="55" spans="1:16" ht="14.5" customHeight="1" x14ac:dyDescent="0.35">
      <c r="A55" s="12">
        <v>25</v>
      </c>
      <c r="B55" s="12">
        <v>0</v>
      </c>
      <c r="C55" s="18">
        <f t="shared" ref="C55" si="26">A55+(B55/12)</f>
        <v>25</v>
      </c>
      <c r="D55" s="18">
        <v>0.7</v>
      </c>
      <c r="E55" s="12">
        <v>0.08</v>
      </c>
      <c r="H55" s="23">
        <f>C55</f>
        <v>25</v>
      </c>
      <c r="I55" s="18">
        <f t="shared" ref="I55:I61" si="27">D55</f>
        <v>0.7</v>
      </c>
      <c r="J55" s="18">
        <f>((H55-H54)+((H56-H55)/2))*I55</f>
        <v>3.2374999999999998</v>
      </c>
      <c r="K55" s="12">
        <f t="shared" ref="K55:K61" si="28">E55</f>
        <v>0.08</v>
      </c>
      <c r="L55" s="18">
        <f>J55*K55</f>
        <v>0.25900000000000001</v>
      </c>
      <c r="P55" s="12"/>
    </row>
    <row r="56" spans="1:16" ht="14.5" customHeight="1" x14ac:dyDescent="0.35">
      <c r="A56" s="12">
        <v>31</v>
      </c>
      <c r="B56" s="12">
        <v>0</v>
      </c>
      <c r="C56" s="18">
        <f>A56+(B56/12)</f>
        <v>31</v>
      </c>
      <c r="D56" s="18">
        <v>0.77</v>
      </c>
      <c r="E56" s="12">
        <v>0.12</v>
      </c>
      <c r="H56" s="23">
        <f t="shared" ref="H56:H60" si="29">C56</f>
        <v>31</v>
      </c>
      <c r="I56" s="18">
        <f t="shared" si="27"/>
        <v>0.77</v>
      </c>
      <c r="J56" s="18">
        <f>((H57-H55)/2)*I56</f>
        <v>3.6575000000000002</v>
      </c>
      <c r="K56" s="12">
        <f t="shared" si="28"/>
        <v>0.12</v>
      </c>
      <c r="L56" s="18">
        <f t="shared" ref="L56:L61" si="30">J56*K56</f>
        <v>0.43890000000000001</v>
      </c>
      <c r="P56" s="12"/>
    </row>
    <row r="57" spans="1:16" ht="14.5" customHeight="1" x14ac:dyDescent="0.35">
      <c r="A57" s="12">
        <v>34</v>
      </c>
      <c r="B57" s="12">
        <v>6</v>
      </c>
      <c r="C57" s="18">
        <f t="shared" ref="C57:C60" si="31">A57+(B57/12)</f>
        <v>34.5</v>
      </c>
      <c r="D57" s="18">
        <v>0.68</v>
      </c>
      <c r="E57" s="12">
        <v>0.24</v>
      </c>
      <c r="H57" s="23">
        <f t="shared" si="29"/>
        <v>34.5</v>
      </c>
      <c r="I57" s="18">
        <f t="shared" si="27"/>
        <v>0.68</v>
      </c>
      <c r="J57" s="18">
        <f t="shared" ref="J57:J60" si="32">((H58-H56)/2)*I57</f>
        <v>3.06</v>
      </c>
      <c r="K57" s="12">
        <f t="shared" si="28"/>
        <v>0.24</v>
      </c>
      <c r="L57" s="18">
        <f t="shared" si="30"/>
        <v>0.73439999999999994</v>
      </c>
      <c r="P57" s="12"/>
    </row>
    <row r="58" spans="1:16" ht="14.5" customHeight="1" x14ac:dyDescent="0.35">
      <c r="A58" s="12">
        <v>40</v>
      </c>
      <c r="B58" s="12">
        <v>0</v>
      </c>
      <c r="C58" s="18">
        <f t="shared" si="31"/>
        <v>40</v>
      </c>
      <c r="D58" s="18">
        <v>0.65</v>
      </c>
      <c r="E58" s="12">
        <v>0.06</v>
      </c>
      <c r="H58" s="23">
        <f t="shared" si="29"/>
        <v>40</v>
      </c>
      <c r="I58" s="18">
        <f t="shared" si="27"/>
        <v>0.65</v>
      </c>
      <c r="J58" s="18">
        <f t="shared" si="32"/>
        <v>3.0874999999999999</v>
      </c>
      <c r="K58" s="12">
        <f t="shared" si="28"/>
        <v>0.06</v>
      </c>
      <c r="L58" s="18">
        <f t="shared" si="30"/>
        <v>0.18525</v>
      </c>
    </row>
    <row r="59" spans="1:16" ht="14.5" customHeight="1" x14ac:dyDescent="0.35">
      <c r="A59" s="12">
        <v>44</v>
      </c>
      <c r="B59" s="12">
        <v>0</v>
      </c>
      <c r="C59" s="18">
        <f t="shared" si="31"/>
        <v>44</v>
      </c>
      <c r="D59" s="18">
        <v>0.64</v>
      </c>
      <c r="E59" s="12">
        <v>0.16</v>
      </c>
      <c r="H59" s="23">
        <f t="shared" si="29"/>
        <v>44</v>
      </c>
      <c r="I59" s="18">
        <f t="shared" si="27"/>
        <v>0.64</v>
      </c>
      <c r="J59" s="18">
        <f t="shared" si="32"/>
        <v>4.16</v>
      </c>
      <c r="K59" s="12">
        <f t="shared" si="28"/>
        <v>0.16</v>
      </c>
      <c r="L59" s="18">
        <f t="shared" si="30"/>
        <v>0.66560000000000008</v>
      </c>
    </row>
    <row r="60" spans="1:16" ht="14.5" customHeight="1" x14ac:dyDescent="0.35">
      <c r="A60" s="12">
        <v>53</v>
      </c>
      <c r="B60" s="12">
        <v>0</v>
      </c>
      <c r="C60" s="18">
        <f t="shared" si="31"/>
        <v>53</v>
      </c>
      <c r="D60" s="18">
        <v>0.55000000000000004</v>
      </c>
      <c r="E60" s="12">
        <v>0.01</v>
      </c>
      <c r="H60" s="23">
        <f t="shared" si="29"/>
        <v>53</v>
      </c>
      <c r="I60" s="18">
        <f t="shared" si="27"/>
        <v>0.55000000000000004</v>
      </c>
      <c r="J60" s="18">
        <f t="shared" si="32"/>
        <v>4.5604166666666677</v>
      </c>
      <c r="K60" s="12">
        <f t="shared" si="28"/>
        <v>0.01</v>
      </c>
      <c r="L60" s="18">
        <f t="shared" si="30"/>
        <v>4.5604166666666675E-2</v>
      </c>
    </row>
    <row r="61" spans="1:16" ht="14.5" customHeight="1" x14ac:dyDescent="0.35">
      <c r="C61" s="18"/>
      <c r="D61" s="18"/>
      <c r="H61" s="20">
        <v>60.583333333333336</v>
      </c>
      <c r="I61" s="18">
        <f t="shared" si="27"/>
        <v>0</v>
      </c>
      <c r="J61" s="18">
        <v>0</v>
      </c>
      <c r="K61" s="12">
        <f t="shared" si="28"/>
        <v>0</v>
      </c>
      <c r="L61" s="18">
        <f t="shared" si="30"/>
        <v>0</v>
      </c>
    </row>
    <row r="62" spans="1:16" ht="14.5" customHeight="1" x14ac:dyDescent="0.35">
      <c r="A62" s="16" t="s">
        <v>97</v>
      </c>
      <c r="B62" s="24">
        <f>SUM(J54:J61)</f>
        <v>21.762916666666669</v>
      </c>
      <c r="C62" s="12" t="s">
        <v>101</v>
      </c>
      <c r="D62" s="18" t="s">
        <v>111</v>
      </c>
      <c r="E62" s="12">
        <v>145.10130000000001</v>
      </c>
      <c r="F62" s="12" t="s">
        <v>58</v>
      </c>
      <c r="G62" s="12" t="s">
        <v>121</v>
      </c>
      <c r="H62" s="20">
        <f>P4-(((T1F1_Flat_Level-Q4)/(Q3-Q4))*(P4-P3))</f>
        <v>23.177883454106279</v>
      </c>
    </row>
    <row r="63" spans="1:16" ht="14.5" customHeight="1" x14ac:dyDescent="0.35">
      <c r="A63" s="12" t="s">
        <v>99</v>
      </c>
      <c r="B63" s="18">
        <f>SUM(L54:L61)</f>
        <v>2.3287541666666667</v>
      </c>
      <c r="C63" s="12" t="s">
        <v>100</v>
      </c>
      <c r="D63" s="18" t="s">
        <v>94</v>
      </c>
      <c r="E63" s="12">
        <f>SUM(U:U)</f>
        <v>21.764260416666431</v>
      </c>
      <c r="F63" s="12" t="s">
        <v>101</v>
      </c>
      <c r="G63" s="12" t="s">
        <v>123</v>
      </c>
      <c r="H63" s="20">
        <f>P39+(((T1F1_Flat_Level-Q39)/(Q40-Q39))*(P40-P39))</f>
        <v>60.608333333333327</v>
      </c>
    </row>
    <row r="64" spans="1:16" ht="14.5" customHeight="1" x14ac:dyDescent="0.35">
      <c r="A64" s="12" t="s">
        <v>98</v>
      </c>
      <c r="B64" s="21">
        <f>B62/E65</f>
        <v>0.58142279178815148</v>
      </c>
      <c r="C64" s="12" t="s">
        <v>58</v>
      </c>
      <c r="D64" s="18" t="s">
        <v>112</v>
      </c>
      <c r="E64" s="21">
        <f>B62-E63</f>
        <v>-1.3437499997621671E-3</v>
      </c>
      <c r="F64" s="12" t="s">
        <v>101</v>
      </c>
      <c r="G64" s="12" t="s">
        <v>175</v>
      </c>
      <c r="H64" s="20">
        <f>H63-H62</f>
        <v>37.430449879227048</v>
      </c>
    </row>
    <row r="65" spans="1:12" ht="14.5" customHeight="1" x14ac:dyDescent="0.35">
      <c r="A65" s="12" t="s">
        <v>102</v>
      </c>
      <c r="B65" s="21">
        <f>B63/B62</f>
        <v>0.10700560969539162</v>
      </c>
      <c r="C65" s="12" t="s">
        <v>103</v>
      </c>
      <c r="D65" s="18" t="s">
        <v>127</v>
      </c>
      <c r="E65" s="23">
        <f>H64</f>
        <v>37.430449879227048</v>
      </c>
      <c r="F65" s="12" t="s">
        <v>58</v>
      </c>
      <c r="G65" s="12" t="s">
        <v>180</v>
      </c>
      <c r="H65" s="36">
        <f>H64/$D$132</f>
        <v>0.91479714572449</v>
      </c>
    </row>
    <row r="66" spans="1:12" ht="14.5" customHeight="1" x14ac:dyDescent="0.35">
      <c r="C66" s="18"/>
      <c r="D66" s="18"/>
      <c r="H66" s="20"/>
    </row>
    <row r="67" spans="1:12" ht="14.5" customHeight="1" x14ac:dyDescent="0.35">
      <c r="A67" s="12" t="s">
        <v>107</v>
      </c>
      <c r="C67" s="17" t="s">
        <v>13</v>
      </c>
      <c r="D67" s="17" t="s">
        <v>29</v>
      </c>
      <c r="E67" s="12" t="s">
        <v>7</v>
      </c>
      <c r="F67" s="12" t="s">
        <v>3</v>
      </c>
      <c r="H67" s="12" t="s">
        <v>96</v>
      </c>
      <c r="I67" s="12" t="s">
        <v>6</v>
      </c>
      <c r="J67" s="12" t="s">
        <v>94</v>
      </c>
      <c r="K67" s="12" t="s">
        <v>7</v>
      </c>
      <c r="L67" s="12" t="s">
        <v>95</v>
      </c>
    </row>
    <row r="68" spans="1:12" ht="14.5" customHeight="1" x14ac:dyDescent="0.35">
      <c r="C68" s="18"/>
      <c r="D68" s="18"/>
      <c r="H68" s="20">
        <v>23.375</v>
      </c>
      <c r="I68" s="18">
        <f>D68</f>
        <v>0</v>
      </c>
      <c r="J68" s="18">
        <v>0</v>
      </c>
      <c r="K68" s="12">
        <f>E68</f>
        <v>0</v>
      </c>
      <c r="L68" s="18">
        <f>J68*K68</f>
        <v>0</v>
      </c>
    </row>
    <row r="69" spans="1:12" ht="14.5" customHeight="1" x14ac:dyDescent="0.35">
      <c r="A69" s="12">
        <v>23</v>
      </c>
      <c r="B69" s="12">
        <v>6</v>
      </c>
      <c r="C69" s="18">
        <f t="shared" ref="C69" si="33">A69+(B69/12)</f>
        <v>23.5</v>
      </c>
      <c r="D69" s="18">
        <v>0.74</v>
      </c>
      <c r="E69" s="18">
        <v>0.01</v>
      </c>
      <c r="H69" s="23">
        <f t="shared" ref="H69:H77" si="34">C69</f>
        <v>23.5</v>
      </c>
      <c r="I69" s="18">
        <f t="shared" ref="I69:I77" si="35">D69</f>
        <v>0.74</v>
      </c>
      <c r="J69" s="18">
        <f>((H69-H68)+((H70-H69)/2))*I69</f>
        <v>0.64749999999999996</v>
      </c>
      <c r="K69" s="12">
        <f t="shared" ref="K69:K77" si="36">E69</f>
        <v>0.01</v>
      </c>
      <c r="L69" s="18">
        <f t="shared" ref="L69:L76" si="37">J69*K69</f>
        <v>6.4749999999999999E-3</v>
      </c>
    </row>
    <row r="70" spans="1:12" ht="14.5" customHeight="1" x14ac:dyDescent="0.35">
      <c r="A70" s="12">
        <v>25</v>
      </c>
      <c r="B70" s="12">
        <v>0</v>
      </c>
      <c r="C70" s="18">
        <f>A70+(B70/12)</f>
        <v>25</v>
      </c>
      <c r="D70" s="18">
        <v>0.9</v>
      </c>
      <c r="E70" s="18">
        <v>0.21</v>
      </c>
      <c r="H70" s="23">
        <f t="shared" si="34"/>
        <v>25</v>
      </c>
      <c r="I70" s="18">
        <f t="shared" si="35"/>
        <v>0.9</v>
      </c>
      <c r="J70" s="18">
        <f t="shared" ref="J70:J77" si="38">((H71-H69)/2)*I70</f>
        <v>1.7062500000000005</v>
      </c>
      <c r="K70" s="18">
        <f>E70</f>
        <v>0.21</v>
      </c>
      <c r="L70" s="18">
        <f t="shared" si="37"/>
        <v>0.35831250000000009</v>
      </c>
    </row>
    <row r="71" spans="1:12" ht="14.5" customHeight="1" x14ac:dyDescent="0.35">
      <c r="A71" s="12">
        <v>27</v>
      </c>
      <c r="B71" s="12">
        <v>3.5</v>
      </c>
      <c r="C71" s="18">
        <f t="shared" ref="C71:C78" si="39">A71+(B71/12)</f>
        <v>27.291666666666668</v>
      </c>
      <c r="D71" s="18">
        <v>1.22</v>
      </c>
      <c r="E71" s="18">
        <v>0.55000000000000004</v>
      </c>
      <c r="H71" s="23">
        <f t="shared" si="34"/>
        <v>27.291666666666668</v>
      </c>
      <c r="I71" s="18">
        <f t="shared" si="35"/>
        <v>1.22</v>
      </c>
      <c r="J71" s="18">
        <f t="shared" si="38"/>
        <v>3.1008333333333327</v>
      </c>
      <c r="K71" s="12">
        <f t="shared" si="36"/>
        <v>0.55000000000000004</v>
      </c>
      <c r="L71" s="18">
        <f t="shared" si="37"/>
        <v>1.7054583333333331</v>
      </c>
    </row>
    <row r="72" spans="1:12" ht="14.5" customHeight="1" x14ac:dyDescent="0.35">
      <c r="A72" s="12">
        <v>30</v>
      </c>
      <c r="B72" s="12">
        <v>1</v>
      </c>
      <c r="C72" s="18">
        <f t="shared" si="39"/>
        <v>30.083333333333332</v>
      </c>
      <c r="D72" s="18">
        <v>1.01</v>
      </c>
      <c r="E72" s="18">
        <v>0.43</v>
      </c>
      <c r="H72" s="23">
        <f t="shared" si="34"/>
        <v>30.083333333333332</v>
      </c>
      <c r="I72" s="18">
        <f t="shared" si="35"/>
        <v>1.01</v>
      </c>
      <c r="J72" s="18">
        <f t="shared" si="38"/>
        <v>3.6402083333333328</v>
      </c>
      <c r="K72" s="12">
        <f t="shared" si="36"/>
        <v>0.43</v>
      </c>
      <c r="L72" s="18">
        <f t="shared" si="37"/>
        <v>1.5652895833333331</v>
      </c>
    </row>
    <row r="73" spans="1:12" ht="14.5" customHeight="1" x14ac:dyDescent="0.35">
      <c r="A73" s="12">
        <v>34</v>
      </c>
      <c r="B73" s="12">
        <v>6</v>
      </c>
      <c r="C73" s="18">
        <f t="shared" si="39"/>
        <v>34.5</v>
      </c>
      <c r="D73" s="18">
        <v>0.73</v>
      </c>
      <c r="E73" s="18">
        <v>0.39</v>
      </c>
      <c r="H73" s="23">
        <f t="shared" si="34"/>
        <v>34.5</v>
      </c>
      <c r="I73" s="18">
        <f t="shared" si="35"/>
        <v>0.73</v>
      </c>
      <c r="J73" s="18">
        <f t="shared" si="38"/>
        <v>3.6195833333333338</v>
      </c>
      <c r="K73" s="12">
        <f t="shared" si="36"/>
        <v>0.39</v>
      </c>
      <c r="L73" s="18">
        <f t="shared" si="37"/>
        <v>1.4116375000000003</v>
      </c>
    </row>
    <row r="74" spans="1:12" ht="14.5" customHeight="1" x14ac:dyDescent="0.35">
      <c r="A74" s="12">
        <v>40</v>
      </c>
      <c r="B74" s="12">
        <v>0</v>
      </c>
      <c r="C74" s="18">
        <f t="shared" si="39"/>
        <v>40</v>
      </c>
      <c r="D74" s="18">
        <v>0.79</v>
      </c>
      <c r="E74" s="18">
        <v>0.38</v>
      </c>
      <c r="H74" s="23">
        <f t="shared" si="34"/>
        <v>40</v>
      </c>
      <c r="I74" s="18">
        <f t="shared" si="35"/>
        <v>0.79</v>
      </c>
      <c r="J74" s="18">
        <f t="shared" si="38"/>
        <v>3.7525000000000004</v>
      </c>
      <c r="K74" s="12">
        <f t="shared" si="36"/>
        <v>0.38</v>
      </c>
      <c r="L74" s="18">
        <f t="shared" si="37"/>
        <v>1.4259500000000003</v>
      </c>
    </row>
    <row r="75" spans="1:12" ht="14.5" customHeight="1" x14ac:dyDescent="0.35">
      <c r="A75" s="12">
        <v>44</v>
      </c>
      <c r="B75" s="12">
        <v>0</v>
      </c>
      <c r="C75" s="18">
        <f t="shared" si="39"/>
        <v>44</v>
      </c>
      <c r="D75" s="18">
        <v>0.7</v>
      </c>
      <c r="E75" s="18">
        <v>0.3</v>
      </c>
      <c r="H75" s="23">
        <f t="shared" si="34"/>
        <v>44</v>
      </c>
      <c r="I75" s="18">
        <f t="shared" si="35"/>
        <v>0.7</v>
      </c>
      <c r="J75" s="18">
        <f t="shared" si="38"/>
        <v>4.55</v>
      </c>
      <c r="K75" s="12">
        <f t="shared" si="36"/>
        <v>0.3</v>
      </c>
      <c r="L75" s="18">
        <f t="shared" si="37"/>
        <v>1.365</v>
      </c>
    </row>
    <row r="76" spans="1:12" ht="14.5" customHeight="1" x14ac:dyDescent="0.35">
      <c r="A76" s="12">
        <v>53</v>
      </c>
      <c r="B76" s="12">
        <v>0</v>
      </c>
      <c r="C76" s="18">
        <f t="shared" si="39"/>
        <v>53</v>
      </c>
      <c r="D76" s="18">
        <v>0.77</v>
      </c>
      <c r="E76" s="18">
        <v>0.16</v>
      </c>
      <c r="H76" s="23">
        <f t="shared" si="34"/>
        <v>53</v>
      </c>
      <c r="I76" s="18">
        <f t="shared" si="35"/>
        <v>0.77</v>
      </c>
      <c r="J76" s="18">
        <f t="shared" si="38"/>
        <v>4.5237499999999997</v>
      </c>
      <c r="K76" s="12">
        <f t="shared" si="36"/>
        <v>0.16</v>
      </c>
      <c r="L76" s="18">
        <f t="shared" si="37"/>
        <v>0.7238</v>
      </c>
    </row>
    <row r="77" spans="1:12" ht="14.5" customHeight="1" x14ac:dyDescent="0.35">
      <c r="A77" s="12">
        <v>55</v>
      </c>
      <c r="B77" s="12">
        <v>9</v>
      </c>
      <c r="C77" s="18">
        <f t="shared" si="39"/>
        <v>55.75</v>
      </c>
      <c r="D77" s="18">
        <v>1.03</v>
      </c>
      <c r="E77" s="18">
        <v>0.13</v>
      </c>
      <c r="H77" s="23">
        <f t="shared" si="34"/>
        <v>55.75</v>
      </c>
      <c r="I77" s="18">
        <f t="shared" si="35"/>
        <v>1.03</v>
      </c>
      <c r="J77" s="18">
        <f t="shared" si="38"/>
        <v>3.9054166666666679</v>
      </c>
      <c r="K77" s="12">
        <f t="shared" si="36"/>
        <v>0.13</v>
      </c>
      <c r="L77" s="18">
        <f>J77*K77</f>
        <v>0.50770416666666685</v>
      </c>
    </row>
    <row r="78" spans="1:12" ht="14.5" customHeight="1" x14ac:dyDescent="0.35">
      <c r="A78" s="12">
        <v>60</v>
      </c>
      <c r="B78" s="12">
        <v>10</v>
      </c>
      <c r="C78" s="18">
        <f t="shared" si="39"/>
        <v>60.833333333333336</v>
      </c>
      <c r="D78" s="18"/>
      <c r="E78" s="18"/>
      <c r="F78" s="12" t="s">
        <v>17</v>
      </c>
      <c r="H78" s="23">
        <v>60.583333333333336</v>
      </c>
      <c r="I78" s="18">
        <f t="shared" ref="I78" si="40">D78</f>
        <v>0</v>
      </c>
      <c r="J78" s="18">
        <v>0</v>
      </c>
      <c r="K78" s="12">
        <f t="shared" ref="K78" si="41">E78</f>
        <v>0</v>
      </c>
      <c r="L78" s="18">
        <f t="shared" ref="L78" si="42">J78*K78</f>
        <v>0</v>
      </c>
    </row>
    <row r="79" spans="1:12" ht="14.5" customHeight="1" x14ac:dyDescent="0.35">
      <c r="C79" s="18"/>
      <c r="D79" s="18"/>
    </row>
    <row r="80" spans="1:12" ht="14.5" customHeight="1" x14ac:dyDescent="0.35">
      <c r="A80" s="16" t="s">
        <v>97</v>
      </c>
      <c r="B80" s="24">
        <f>SUM(J68:J78)</f>
        <v>29.44604166666667</v>
      </c>
      <c r="C80" s="12" t="s">
        <v>101</v>
      </c>
      <c r="D80" s="18" t="s">
        <v>111</v>
      </c>
      <c r="E80" s="12">
        <v>145.3818</v>
      </c>
      <c r="F80" s="12" t="s">
        <v>58</v>
      </c>
      <c r="G80" s="12" t="s">
        <v>121</v>
      </c>
      <c r="H80" s="20">
        <f>P4-(((T1F2_Flat_Level-Q4)/(Q3-Q4))*(P4-P3))</f>
        <v>23.084722222222222</v>
      </c>
    </row>
    <row r="81" spans="1:12" ht="14.5" customHeight="1" x14ac:dyDescent="0.35">
      <c r="A81" s="12" t="s">
        <v>99</v>
      </c>
      <c r="B81" s="18">
        <f>SUM(L68:L78)</f>
        <v>9.0696270833333337</v>
      </c>
      <c r="C81" s="12" t="s">
        <v>100</v>
      </c>
      <c r="D81" s="18" t="s">
        <v>94</v>
      </c>
      <c r="E81" s="12">
        <f>SUM(Y:Y)</f>
        <v>29.444291666666018</v>
      </c>
      <c r="F81" s="12" t="s">
        <v>101</v>
      </c>
      <c r="G81" s="12" t="s">
        <v>123</v>
      </c>
      <c r="H81" s="20">
        <f>P40+(((T1F2_Flat_Level-Q40)/(Q41-Q40))*(P41-P40))</f>
        <v>61.127777777777766</v>
      </c>
    </row>
    <row r="82" spans="1:12" ht="14.5" customHeight="1" x14ac:dyDescent="0.35">
      <c r="A82" s="12" t="s">
        <v>98</v>
      </c>
      <c r="B82" s="25">
        <f>B80/E83</f>
        <v>0.77401883830455298</v>
      </c>
      <c r="C82" s="12" t="s">
        <v>58</v>
      </c>
      <c r="D82" s="18" t="s">
        <v>112</v>
      </c>
      <c r="E82" s="21">
        <f>B80-E81</f>
        <v>1.7500000006513972E-3</v>
      </c>
      <c r="F82" s="12" t="s">
        <v>101</v>
      </c>
      <c r="G82" s="12" t="s">
        <v>175</v>
      </c>
      <c r="H82" s="20">
        <f>H81-H80</f>
        <v>38.04305555555554</v>
      </c>
    </row>
    <row r="83" spans="1:12" ht="14.5" customHeight="1" x14ac:dyDescent="0.35">
      <c r="A83" s="12" t="s">
        <v>102</v>
      </c>
      <c r="B83" s="21">
        <f>B81/B80</f>
        <v>0.30800836275390719</v>
      </c>
      <c r="C83" s="12" t="s">
        <v>103</v>
      </c>
      <c r="D83" s="18" t="s">
        <v>127</v>
      </c>
      <c r="E83" s="23">
        <f>H82</f>
        <v>38.04305555555554</v>
      </c>
      <c r="F83" s="12" t="s">
        <v>58</v>
      </c>
      <c r="G83" s="12" t="s">
        <v>180</v>
      </c>
      <c r="H83" s="36">
        <f>H82/$D$132</f>
        <v>0.92976917854718233</v>
      </c>
    </row>
    <row r="84" spans="1:12" ht="14.5" customHeight="1" x14ac:dyDescent="0.35">
      <c r="B84" s="21"/>
      <c r="D84" s="18"/>
    </row>
    <row r="85" spans="1:12" ht="14.5" customHeight="1" x14ac:dyDescent="0.35">
      <c r="A85" s="12" t="s">
        <v>106</v>
      </c>
      <c r="C85" s="17" t="s">
        <v>13</v>
      </c>
      <c r="D85" s="17" t="s">
        <v>29</v>
      </c>
      <c r="E85" s="12" t="s">
        <v>7</v>
      </c>
      <c r="F85" s="12" t="s">
        <v>3</v>
      </c>
      <c r="H85" s="12" t="s">
        <v>96</v>
      </c>
      <c r="I85" s="12" t="s">
        <v>6</v>
      </c>
      <c r="J85" s="12" t="s">
        <v>94</v>
      </c>
      <c r="K85" s="12" t="s">
        <v>7</v>
      </c>
      <c r="L85" s="12" t="s">
        <v>95</v>
      </c>
    </row>
    <row r="86" spans="1:12" ht="14.5" customHeight="1" x14ac:dyDescent="0.35">
      <c r="A86" s="12">
        <v>23</v>
      </c>
      <c r="B86" s="12">
        <v>6</v>
      </c>
      <c r="C86" s="18">
        <f t="shared" ref="C86" si="43">A86+(B86/12)</f>
        <v>23.5</v>
      </c>
      <c r="D86" s="18">
        <v>1</v>
      </c>
      <c r="E86" s="18"/>
      <c r="F86" s="12" t="s">
        <v>108</v>
      </c>
      <c r="H86" s="23">
        <f t="shared" ref="H86:H106" si="44">C86</f>
        <v>23.5</v>
      </c>
    </row>
    <row r="87" spans="1:12" ht="14.5" customHeight="1" x14ac:dyDescent="0.35">
      <c r="A87" s="12">
        <v>25</v>
      </c>
      <c r="B87" s="12">
        <v>4</v>
      </c>
      <c r="C87" s="18">
        <f>A87+(B87/12)</f>
        <v>25.333333333333332</v>
      </c>
      <c r="D87" s="18">
        <v>1</v>
      </c>
      <c r="E87" s="18">
        <v>0.3</v>
      </c>
      <c r="H87" s="23">
        <f t="shared" si="44"/>
        <v>25.333333333333332</v>
      </c>
      <c r="I87" s="18">
        <f>(D86+D88)/2</f>
        <v>1.2</v>
      </c>
      <c r="J87" s="12">
        <f>(C88-C86)*I87</f>
        <v>3.6999999999999984</v>
      </c>
      <c r="K87" s="12">
        <f t="shared" ref="K87:K105" si="45">E87</f>
        <v>0.3</v>
      </c>
      <c r="L87" s="12">
        <f>J87*K87</f>
        <v>1.1099999999999994</v>
      </c>
    </row>
    <row r="88" spans="1:12" ht="14.5" customHeight="1" x14ac:dyDescent="0.35">
      <c r="A88" s="12">
        <v>26</v>
      </c>
      <c r="B88" s="12">
        <v>7</v>
      </c>
      <c r="C88" s="18">
        <f t="shared" ref="C88:C89" si="46">A88+(B88/12)</f>
        <v>26.583333333333332</v>
      </c>
      <c r="D88" s="18">
        <v>1.4</v>
      </c>
      <c r="E88" s="18"/>
      <c r="F88" s="12" t="s">
        <v>20</v>
      </c>
      <c r="H88" s="23">
        <f t="shared" si="44"/>
        <v>26.583333333333332</v>
      </c>
      <c r="K88" s="18"/>
    </row>
    <row r="89" spans="1:12" ht="14.5" customHeight="1" x14ac:dyDescent="0.35">
      <c r="A89" s="12">
        <v>27</v>
      </c>
      <c r="B89" s="12">
        <v>9</v>
      </c>
      <c r="C89" s="18">
        <f t="shared" si="46"/>
        <v>27.75</v>
      </c>
      <c r="D89" s="18">
        <v>1.38</v>
      </c>
      <c r="E89" s="18">
        <v>0.8</v>
      </c>
      <c r="H89" s="23">
        <f t="shared" si="44"/>
        <v>27.75</v>
      </c>
      <c r="I89" s="18">
        <f>(D88+D90)/2</f>
        <v>1.2999999999999998</v>
      </c>
      <c r="J89" s="12">
        <f>(C90-C88)*I89</f>
        <v>4.4416666666666673</v>
      </c>
      <c r="K89" s="12">
        <f t="shared" si="45"/>
        <v>0.8</v>
      </c>
      <c r="L89" s="12">
        <f>J89*K89</f>
        <v>3.5533333333333341</v>
      </c>
    </row>
    <row r="90" spans="1:12" ht="14.5" customHeight="1" x14ac:dyDescent="0.35">
      <c r="A90" s="12">
        <v>30</v>
      </c>
      <c r="B90" s="12">
        <v>0</v>
      </c>
      <c r="C90" s="18">
        <f>A90+(B90/12)</f>
        <v>30</v>
      </c>
      <c r="D90" s="18">
        <v>1.2</v>
      </c>
      <c r="E90" s="18"/>
      <c r="F90" s="12" t="s">
        <v>20</v>
      </c>
      <c r="H90" s="23">
        <f t="shared" si="44"/>
        <v>30</v>
      </c>
    </row>
    <row r="91" spans="1:12" ht="14.5" customHeight="1" x14ac:dyDescent="0.35">
      <c r="A91" s="12">
        <v>35</v>
      </c>
      <c r="B91" s="12">
        <v>2</v>
      </c>
      <c r="C91" s="18">
        <f>A91+(B91/12)</f>
        <v>35.166666666666664</v>
      </c>
      <c r="D91" s="18">
        <v>1</v>
      </c>
      <c r="E91" s="18">
        <v>0.41</v>
      </c>
      <c r="H91" s="23">
        <f t="shared" si="44"/>
        <v>35.166666666666664</v>
      </c>
      <c r="I91" s="18">
        <f>(D90+D92)/2</f>
        <v>1.04</v>
      </c>
      <c r="J91" s="12">
        <f>(C92-C90)*I91</f>
        <v>7.3666666666666698</v>
      </c>
      <c r="K91" s="12">
        <f t="shared" si="45"/>
        <v>0.41</v>
      </c>
      <c r="L91" s="12">
        <f>J91*K91</f>
        <v>3.0203333333333346</v>
      </c>
    </row>
    <row r="92" spans="1:12" ht="14.5" customHeight="1" x14ac:dyDescent="0.35">
      <c r="A92" s="12">
        <v>37</v>
      </c>
      <c r="B92" s="12">
        <v>1</v>
      </c>
      <c r="C92" s="18">
        <f t="shared" ref="C92:C106" si="47">A92+(B92/12)</f>
        <v>37.083333333333336</v>
      </c>
      <c r="D92" s="18">
        <v>0.88</v>
      </c>
      <c r="E92" s="18"/>
      <c r="F92" s="12" t="s">
        <v>20</v>
      </c>
      <c r="H92" s="23">
        <f t="shared" si="44"/>
        <v>37.083333333333336</v>
      </c>
    </row>
    <row r="93" spans="1:12" ht="14.5" customHeight="1" x14ac:dyDescent="0.35">
      <c r="A93" s="12">
        <v>41</v>
      </c>
      <c r="B93" s="12">
        <v>4</v>
      </c>
      <c r="C93" s="18">
        <f>A93+(B93/12)</f>
        <v>41.333333333333336</v>
      </c>
      <c r="D93" s="18">
        <v>1.0900000000000001</v>
      </c>
      <c r="E93" s="18">
        <v>0.32</v>
      </c>
      <c r="H93" s="23">
        <f t="shared" si="44"/>
        <v>41.333333333333336</v>
      </c>
      <c r="I93" s="18">
        <f>(D92+D94)/2</f>
        <v>0.92999999999999994</v>
      </c>
      <c r="J93" s="12">
        <f>(C94-C92)*I93</f>
        <v>5.8899999999999952</v>
      </c>
      <c r="K93" s="12">
        <f t="shared" si="45"/>
        <v>0.32</v>
      </c>
      <c r="L93" s="12">
        <f>J93*K93</f>
        <v>1.8847999999999985</v>
      </c>
    </row>
    <row r="94" spans="1:12" ht="14.5" customHeight="1" x14ac:dyDescent="0.35">
      <c r="A94" s="12">
        <v>43</v>
      </c>
      <c r="B94" s="12">
        <v>5</v>
      </c>
      <c r="C94" s="18">
        <f t="shared" si="47"/>
        <v>43.416666666666664</v>
      </c>
      <c r="D94" s="18">
        <v>0.98</v>
      </c>
      <c r="E94" s="18"/>
      <c r="F94" s="12" t="s">
        <v>20</v>
      </c>
      <c r="H94" s="23">
        <f t="shared" si="44"/>
        <v>43.416666666666664</v>
      </c>
    </row>
    <row r="95" spans="1:12" ht="14.5" customHeight="1" x14ac:dyDescent="0.35">
      <c r="A95" s="12">
        <v>46</v>
      </c>
      <c r="B95" s="12">
        <v>1</v>
      </c>
      <c r="C95" s="18">
        <f t="shared" si="47"/>
        <v>46.083333333333336</v>
      </c>
      <c r="D95" s="18">
        <v>0.9</v>
      </c>
      <c r="E95" s="18">
        <v>0.46</v>
      </c>
      <c r="H95" s="23">
        <f t="shared" si="44"/>
        <v>46.083333333333336</v>
      </c>
      <c r="I95" s="18">
        <f>(D94+D96)/2</f>
        <v>0.84</v>
      </c>
      <c r="J95" s="12">
        <f>(C96-C94)*I95</f>
        <v>3.8500000000000019</v>
      </c>
      <c r="K95" s="12">
        <f t="shared" si="45"/>
        <v>0.46</v>
      </c>
      <c r="L95" s="12">
        <f>J95*K95</f>
        <v>1.771000000000001</v>
      </c>
    </row>
    <row r="96" spans="1:12" ht="14.5" customHeight="1" x14ac:dyDescent="0.35">
      <c r="A96" s="12">
        <v>48</v>
      </c>
      <c r="B96" s="12">
        <v>0</v>
      </c>
      <c r="C96" s="18">
        <f t="shared" si="47"/>
        <v>48</v>
      </c>
      <c r="D96" s="18">
        <v>0.7</v>
      </c>
      <c r="E96" s="18"/>
      <c r="F96" s="12" t="s">
        <v>20</v>
      </c>
      <c r="H96" s="23">
        <f t="shared" si="44"/>
        <v>48</v>
      </c>
    </row>
    <row r="97" spans="1:12" ht="14.5" customHeight="1" x14ac:dyDescent="0.35">
      <c r="A97" s="12">
        <v>49</v>
      </c>
      <c r="B97" s="12">
        <v>5</v>
      </c>
      <c r="C97" s="18">
        <f t="shared" si="47"/>
        <v>49.416666666666664</v>
      </c>
      <c r="D97" s="18">
        <v>0.75</v>
      </c>
      <c r="E97" s="18">
        <v>0.09</v>
      </c>
      <c r="H97" s="23">
        <f t="shared" si="44"/>
        <v>49.416666666666664</v>
      </c>
      <c r="I97" s="18">
        <f>(D96+D98)/2</f>
        <v>0.79</v>
      </c>
      <c r="J97" s="12">
        <f>(C98-C96)*I97</f>
        <v>3.16</v>
      </c>
      <c r="K97" s="12">
        <f t="shared" si="45"/>
        <v>0.09</v>
      </c>
      <c r="L97" s="12">
        <f>J97*K97</f>
        <v>0.28439999999999999</v>
      </c>
    </row>
    <row r="98" spans="1:12" ht="14.5" customHeight="1" x14ac:dyDescent="0.35">
      <c r="A98" s="12">
        <v>52</v>
      </c>
      <c r="B98" s="12">
        <v>0</v>
      </c>
      <c r="C98" s="18">
        <f t="shared" si="47"/>
        <v>52</v>
      </c>
      <c r="D98" s="18">
        <v>0.88</v>
      </c>
      <c r="E98" s="18"/>
      <c r="F98" s="12" t="s">
        <v>20</v>
      </c>
      <c r="H98" s="23">
        <f t="shared" si="44"/>
        <v>52</v>
      </c>
    </row>
    <row r="99" spans="1:12" ht="14.5" customHeight="1" x14ac:dyDescent="0.35">
      <c r="A99" s="12">
        <v>53</v>
      </c>
      <c r="B99" s="12">
        <v>7</v>
      </c>
      <c r="C99" s="18">
        <f t="shared" si="47"/>
        <v>53.583333333333336</v>
      </c>
      <c r="D99" s="18">
        <v>1.04</v>
      </c>
      <c r="E99" s="18">
        <v>0.28999999999999998</v>
      </c>
      <c r="H99" s="23">
        <f t="shared" si="44"/>
        <v>53.583333333333336</v>
      </c>
      <c r="I99" s="18">
        <f>(D98+D100)/2</f>
        <v>0.92999999999999994</v>
      </c>
      <c r="J99" s="12">
        <f>(C100-C98)*I99</f>
        <v>3.0225</v>
      </c>
      <c r="K99" s="12">
        <f t="shared" si="45"/>
        <v>0.28999999999999998</v>
      </c>
      <c r="L99" s="12">
        <f>J99*K99</f>
        <v>0.87652499999999989</v>
      </c>
    </row>
    <row r="100" spans="1:12" ht="14.5" customHeight="1" x14ac:dyDescent="0.35">
      <c r="A100" s="12">
        <v>55</v>
      </c>
      <c r="B100" s="12">
        <v>3</v>
      </c>
      <c r="C100" s="18">
        <f t="shared" si="47"/>
        <v>55.25</v>
      </c>
      <c r="D100" s="18">
        <v>0.98</v>
      </c>
      <c r="E100" s="18"/>
      <c r="F100" s="12" t="s">
        <v>20</v>
      </c>
      <c r="H100" s="23">
        <f t="shared" si="44"/>
        <v>55.25</v>
      </c>
    </row>
    <row r="101" spans="1:12" ht="14.5" customHeight="1" x14ac:dyDescent="0.35">
      <c r="A101" s="12">
        <v>55</v>
      </c>
      <c r="B101" s="12">
        <v>6</v>
      </c>
      <c r="C101" s="18">
        <f>A101+(B101/12)</f>
        <v>55.5</v>
      </c>
      <c r="D101" s="18">
        <v>0.98</v>
      </c>
      <c r="E101" s="12">
        <v>0.13</v>
      </c>
      <c r="H101" s="23">
        <f t="shared" si="44"/>
        <v>55.5</v>
      </c>
      <c r="I101" s="18">
        <f>(D100+D102)/2</f>
        <v>0.98</v>
      </c>
      <c r="J101" s="12">
        <f>(C102-C100)*I101</f>
        <v>0.49</v>
      </c>
      <c r="K101" s="12">
        <f t="shared" si="45"/>
        <v>0.13</v>
      </c>
      <c r="L101" s="12">
        <f>J101*K101</f>
        <v>6.3700000000000007E-2</v>
      </c>
    </row>
    <row r="102" spans="1:12" ht="14.5" customHeight="1" x14ac:dyDescent="0.35">
      <c r="A102" s="12">
        <v>55</v>
      </c>
      <c r="B102" s="12">
        <v>9</v>
      </c>
      <c r="C102" s="18">
        <f t="shared" si="47"/>
        <v>55.75</v>
      </c>
      <c r="D102" s="18">
        <v>0.98</v>
      </c>
      <c r="F102" s="12" t="s">
        <v>21</v>
      </c>
      <c r="H102" s="23">
        <f t="shared" si="44"/>
        <v>55.75</v>
      </c>
    </row>
    <row r="103" spans="1:12" ht="14.5" customHeight="1" x14ac:dyDescent="0.35">
      <c r="A103" s="12">
        <v>57</v>
      </c>
      <c r="B103" s="12">
        <v>0</v>
      </c>
      <c r="C103" s="18">
        <f t="shared" si="47"/>
        <v>57</v>
      </c>
      <c r="D103" s="18">
        <v>0.45</v>
      </c>
      <c r="E103" s="12">
        <v>0</v>
      </c>
      <c r="F103" s="12" t="s">
        <v>109</v>
      </c>
      <c r="H103" s="23">
        <f t="shared" si="44"/>
        <v>57</v>
      </c>
      <c r="I103" s="18">
        <f>D103</f>
        <v>0.45</v>
      </c>
      <c r="J103" s="12">
        <f>(C104-C102)*I103</f>
        <v>0.749999999999999</v>
      </c>
      <c r="K103" s="12">
        <f t="shared" si="45"/>
        <v>0</v>
      </c>
      <c r="L103" s="12">
        <f>J103*K103</f>
        <v>0</v>
      </c>
    </row>
    <row r="104" spans="1:12" ht="14.5" customHeight="1" x14ac:dyDescent="0.35">
      <c r="A104" s="12">
        <v>57</v>
      </c>
      <c r="B104" s="12">
        <v>5</v>
      </c>
      <c r="C104" s="18">
        <f t="shared" si="47"/>
        <v>57.416666666666664</v>
      </c>
      <c r="D104" s="18">
        <v>0.77</v>
      </c>
      <c r="E104" s="18"/>
      <c r="F104" s="12" t="s">
        <v>110</v>
      </c>
      <c r="H104" s="23">
        <f t="shared" si="44"/>
        <v>57.416666666666664</v>
      </c>
      <c r="I104" s="18">
        <f>D104</f>
        <v>0.77</v>
      </c>
    </row>
    <row r="105" spans="1:12" ht="14.5" customHeight="1" x14ac:dyDescent="0.35">
      <c r="A105" s="12">
        <v>61</v>
      </c>
      <c r="B105" s="12">
        <v>0</v>
      </c>
      <c r="C105" s="18">
        <f t="shared" si="47"/>
        <v>61</v>
      </c>
      <c r="D105" s="18">
        <v>0.1</v>
      </c>
      <c r="E105" s="12">
        <v>0</v>
      </c>
      <c r="F105" s="12" t="s">
        <v>20</v>
      </c>
      <c r="H105" s="23">
        <f t="shared" si="44"/>
        <v>61</v>
      </c>
      <c r="I105" s="18">
        <f>D105</f>
        <v>0.1</v>
      </c>
      <c r="J105" s="12">
        <f>(C106-C104)*((I104+I105)/2)</f>
        <v>1.9212500000000021</v>
      </c>
      <c r="K105" s="12">
        <f t="shared" si="45"/>
        <v>0</v>
      </c>
      <c r="L105" s="12">
        <f>J105*K105</f>
        <v>0</v>
      </c>
    </row>
    <row r="106" spans="1:12" ht="14.5" customHeight="1" x14ac:dyDescent="0.35">
      <c r="A106" s="12">
        <v>61</v>
      </c>
      <c r="B106" s="12">
        <v>10</v>
      </c>
      <c r="C106" s="18">
        <f t="shared" si="47"/>
        <v>61.833333333333336</v>
      </c>
      <c r="D106" s="18"/>
      <c r="F106" s="12" t="s">
        <v>17</v>
      </c>
      <c r="H106" s="23">
        <f t="shared" si="44"/>
        <v>61.833333333333336</v>
      </c>
      <c r="I106" s="12">
        <v>0</v>
      </c>
    </row>
    <row r="107" spans="1:12" ht="14.5" customHeight="1" x14ac:dyDescent="0.35">
      <c r="C107" s="18"/>
      <c r="D107" s="18"/>
    </row>
    <row r="108" spans="1:12" ht="14.5" customHeight="1" x14ac:dyDescent="0.35">
      <c r="A108" s="16" t="s">
        <v>97</v>
      </c>
      <c r="B108" s="24">
        <f>SUM(J86:J106)</f>
        <v>34.592083333333335</v>
      </c>
      <c r="C108" s="12" t="s">
        <v>101</v>
      </c>
      <c r="D108" s="18" t="s">
        <v>111</v>
      </c>
      <c r="E108" s="12">
        <v>145.49870000000001</v>
      </c>
      <c r="F108" s="12" t="s">
        <v>58</v>
      </c>
      <c r="G108" s="12" t="s">
        <v>121</v>
      </c>
      <c r="H108" s="20">
        <f>P4-(((T1F3_Flat_Level-Q4)/(Q3-Q4))*(P4-P3))</f>
        <v>23.045896739130431</v>
      </c>
    </row>
    <row r="109" spans="1:12" ht="14.5" customHeight="1" x14ac:dyDescent="0.35">
      <c r="A109" s="12" t="s">
        <v>99</v>
      </c>
      <c r="B109" s="21">
        <f>SUM(L86:L106)</f>
        <v>12.564091666666668</v>
      </c>
      <c r="C109" s="12" t="s">
        <v>100</v>
      </c>
      <c r="D109" s="18" t="s">
        <v>94</v>
      </c>
      <c r="E109" s="12">
        <f>SUM(AC:AC)</f>
        <v>34.592762500000028</v>
      </c>
      <c r="F109" s="12" t="s">
        <v>101</v>
      </c>
      <c r="G109" s="12" t="s">
        <v>123</v>
      </c>
      <c r="H109" s="20">
        <f>P42+(((T1F3_Flat_Level-Q42)/(Q43-Q42))*(P43-P42))</f>
        <v>61.831856725146217</v>
      </c>
    </row>
    <row r="110" spans="1:12" ht="14.5" customHeight="1" x14ac:dyDescent="0.35">
      <c r="A110" s="12" t="s">
        <v>98</v>
      </c>
      <c r="B110" s="25">
        <f>B108/E111</f>
        <v>0.89187126851586129</v>
      </c>
      <c r="C110" s="12" t="s">
        <v>58</v>
      </c>
      <c r="D110" s="18" t="s">
        <v>112</v>
      </c>
      <c r="E110" s="21">
        <f>B108-E109</f>
        <v>-6.7916666669276538E-4</v>
      </c>
      <c r="F110" s="12" t="s">
        <v>101</v>
      </c>
      <c r="G110" s="12" t="s">
        <v>175</v>
      </c>
      <c r="H110" s="20">
        <f>H109-H108</f>
        <v>38.785959986015783</v>
      </c>
    </row>
    <row r="111" spans="1:12" ht="14.5" customHeight="1" x14ac:dyDescent="0.35">
      <c r="A111" s="12" t="s">
        <v>102</v>
      </c>
      <c r="B111" s="21">
        <f>B109/B108</f>
        <v>0.36320714036207707</v>
      </c>
      <c r="C111" s="12" t="s">
        <v>103</v>
      </c>
      <c r="D111" s="18" t="s">
        <v>127</v>
      </c>
      <c r="E111" s="23">
        <f>H110</f>
        <v>38.785959986015783</v>
      </c>
      <c r="F111" s="12" t="s">
        <v>58</v>
      </c>
      <c r="G111" s="12" t="s">
        <v>180</v>
      </c>
      <c r="H111" s="36">
        <f>H110/$D$132</f>
        <v>0.9479257023058848</v>
      </c>
    </row>
    <row r="112" spans="1:12" ht="14.5" customHeight="1" x14ac:dyDescent="0.35">
      <c r="C112" s="18"/>
      <c r="D112" s="18"/>
    </row>
    <row r="113" spans="1:12" ht="14.5" customHeight="1" x14ac:dyDescent="0.35">
      <c r="A113" s="12" t="s">
        <v>105</v>
      </c>
      <c r="C113" s="17" t="s">
        <v>13</v>
      </c>
      <c r="D113" s="17" t="s">
        <v>29</v>
      </c>
      <c r="E113" s="12" t="s">
        <v>7</v>
      </c>
      <c r="F113" s="12" t="s">
        <v>3</v>
      </c>
      <c r="H113" s="12" t="s">
        <v>96</v>
      </c>
      <c r="I113" s="12" t="s">
        <v>6</v>
      </c>
      <c r="J113" s="12" t="s">
        <v>94</v>
      </c>
      <c r="K113" s="12" t="s">
        <v>7</v>
      </c>
      <c r="L113" s="12" t="s">
        <v>95</v>
      </c>
    </row>
    <row r="114" spans="1:12" ht="14.5" customHeight="1" x14ac:dyDescent="0.35">
      <c r="C114" s="17"/>
      <c r="D114" s="17"/>
      <c r="H114" s="20">
        <v>23.375</v>
      </c>
      <c r="I114" s="18">
        <f>D114</f>
        <v>0</v>
      </c>
      <c r="J114" s="18">
        <v>0</v>
      </c>
      <c r="K114" s="12">
        <f>E114</f>
        <v>0</v>
      </c>
      <c r="L114" s="18">
        <f>J114*K114</f>
        <v>0</v>
      </c>
    </row>
    <row r="115" spans="1:12" ht="14.5" customHeight="1" x14ac:dyDescent="0.35">
      <c r="A115" s="12">
        <v>23</v>
      </c>
      <c r="B115" s="12">
        <v>6</v>
      </c>
      <c r="C115" s="18">
        <f t="shared" ref="C115" si="48">A115+(B115/12)</f>
        <v>23.5</v>
      </c>
      <c r="D115" s="18">
        <v>1.2</v>
      </c>
      <c r="E115" s="18">
        <v>0.06</v>
      </c>
      <c r="H115" s="23">
        <f t="shared" ref="H115" si="49">C115</f>
        <v>23.5</v>
      </c>
      <c r="I115" s="18">
        <f t="shared" ref="I115" si="50">D115</f>
        <v>1.2</v>
      </c>
      <c r="J115" s="18">
        <f>((H115-H114)+((H116-H115)/2))*I115</f>
        <v>1.05</v>
      </c>
      <c r="K115" s="18">
        <f>E115</f>
        <v>0.06</v>
      </c>
      <c r="L115" s="18">
        <f>J115*K115</f>
        <v>6.3E-2</v>
      </c>
    </row>
    <row r="116" spans="1:12" ht="14.5" customHeight="1" x14ac:dyDescent="0.35">
      <c r="A116" s="12">
        <v>25</v>
      </c>
      <c r="B116" s="12">
        <v>0</v>
      </c>
      <c r="C116" s="18">
        <f>A116+(B116/12)</f>
        <v>25</v>
      </c>
      <c r="D116" s="18">
        <v>1.3</v>
      </c>
      <c r="E116" s="18">
        <v>0.18</v>
      </c>
      <c r="H116" s="23">
        <f t="shared" ref="H116:H124" si="51">C116</f>
        <v>25</v>
      </c>
      <c r="I116" s="18">
        <f t="shared" ref="I116:I125" si="52">D116</f>
        <v>1.3</v>
      </c>
      <c r="J116" s="18">
        <f t="shared" ref="J116" si="53">((H117-H115)/2)*I116</f>
        <v>2.464583333333334</v>
      </c>
      <c r="K116" s="12">
        <f t="shared" ref="K116" si="54">E116</f>
        <v>0.18</v>
      </c>
      <c r="L116" s="18">
        <f t="shared" ref="L116:L123" si="55">J116*K116</f>
        <v>0.4436250000000001</v>
      </c>
    </row>
    <row r="117" spans="1:12" ht="14.5" customHeight="1" x14ac:dyDescent="0.35">
      <c r="A117" s="12">
        <v>27</v>
      </c>
      <c r="B117" s="12">
        <v>3.5</v>
      </c>
      <c r="C117" s="18">
        <f t="shared" ref="C117:C125" si="56">A117+(B117/12)</f>
        <v>27.291666666666668</v>
      </c>
      <c r="D117" s="18">
        <v>1.6</v>
      </c>
      <c r="E117" s="18">
        <v>0.82</v>
      </c>
      <c r="H117" s="23">
        <f t="shared" si="51"/>
        <v>27.291666666666668</v>
      </c>
      <c r="I117" s="18">
        <f t="shared" si="52"/>
        <v>1.6</v>
      </c>
      <c r="J117" s="18">
        <f t="shared" ref="J117:J124" si="57">((H118-H116)/2)*I117</f>
        <v>4.0666666666666655</v>
      </c>
      <c r="K117" s="18">
        <f>E117</f>
        <v>0.82</v>
      </c>
      <c r="L117" s="18">
        <f t="shared" si="55"/>
        <v>3.3346666666666653</v>
      </c>
    </row>
    <row r="118" spans="1:12" ht="14.5" customHeight="1" x14ac:dyDescent="0.35">
      <c r="A118" s="12">
        <v>30</v>
      </c>
      <c r="B118" s="12">
        <v>1</v>
      </c>
      <c r="C118" s="18">
        <f t="shared" si="56"/>
        <v>30.083333333333332</v>
      </c>
      <c r="D118" s="18">
        <v>1.4</v>
      </c>
      <c r="E118" s="18">
        <v>1.08</v>
      </c>
      <c r="H118" s="23">
        <f t="shared" si="51"/>
        <v>30.083333333333332</v>
      </c>
      <c r="I118" s="18">
        <f t="shared" si="52"/>
        <v>1.4</v>
      </c>
      <c r="J118" s="18">
        <f t="shared" si="57"/>
        <v>5.0458333333333325</v>
      </c>
      <c r="K118" s="12">
        <f t="shared" ref="K118:K125" si="58">E118</f>
        <v>1.08</v>
      </c>
      <c r="L118" s="18">
        <f t="shared" si="55"/>
        <v>5.4494999999999996</v>
      </c>
    </row>
    <row r="119" spans="1:12" ht="14.5" customHeight="1" x14ac:dyDescent="0.35">
      <c r="A119" s="12">
        <v>34</v>
      </c>
      <c r="B119" s="12">
        <v>6</v>
      </c>
      <c r="C119" s="18">
        <f>A119+(B119/12)</f>
        <v>34.5</v>
      </c>
      <c r="D119" s="18">
        <v>1.38</v>
      </c>
      <c r="E119" s="18">
        <v>0.57999999999999996</v>
      </c>
      <c r="F119" s="13" t="s">
        <v>25</v>
      </c>
      <c r="H119" s="23">
        <f t="shared" si="51"/>
        <v>34.5</v>
      </c>
      <c r="I119" s="18">
        <f t="shared" si="52"/>
        <v>1.38</v>
      </c>
      <c r="J119" s="18">
        <f t="shared" si="57"/>
        <v>6.8425000000000002</v>
      </c>
      <c r="K119" s="12">
        <f t="shared" si="58"/>
        <v>0.57999999999999996</v>
      </c>
      <c r="L119" s="18">
        <f t="shared" si="55"/>
        <v>3.9686499999999998</v>
      </c>
    </row>
    <row r="120" spans="1:12" ht="14.5" customHeight="1" x14ac:dyDescent="0.35">
      <c r="A120" s="12">
        <v>40</v>
      </c>
      <c r="B120" s="12">
        <v>0</v>
      </c>
      <c r="C120" s="18">
        <f>A120+(B120/12)</f>
        <v>40</v>
      </c>
      <c r="D120" s="18">
        <v>1.2</v>
      </c>
      <c r="E120" s="18">
        <v>0.7</v>
      </c>
      <c r="H120" s="23">
        <f t="shared" si="51"/>
        <v>40</v>
      </c>
      <c r="I120" s="18">
        <f t="shared" si="52"/>
        <v>1.2</v>
      </c>
      <c r="J120" s="18">
        <f t="shared" si="57"/>
        <v>5.7</v>
      </c>
      <c r="K120" s="12">
        <f t="shared" si="58"/>
        <v>0.7</v>
      </c>
      <c r="L120" s="18">
        <f t="shared" si="55"/>
        <v>3.9899999999999998</v>
      </c>
    </row>
    <row r="121" spans="1:12" ht="14.5" customHeight="1" x14ac:dyDescent="0.35">
      <c r="A121" s="12">
        <v>44</v>
      </c>
      <c r="B121" s="12">
        <v>0</v>
      </c>
      <c r="C121" s="18">
        <f t="shared" si="56"/>
        <v>44</v>
      </c>
      <c r="D121" s="18">
        <v>1</v>
      </c>
      <c r="E121" s="18">
        <v>0.67</v>
      </c>
      <c r="H121" s="23">
        <f t="shared" si="51"/>
        <v>44</v>
      </c>
      <c r="I121" s="18">
        <f t="shared" si="52"/>
        <v>1</v>
      </c>
      <c r="J121" s="18">
        <f t="shared" si="57"/>
        <v>6.5</v>
      </c>
      <c r="K121" s="12">
        <f t="shared" si="58"/>
        <v>0.67</v>
      </c>
      <c r="L121" s="18">
        <f t="shared" si="55"/>
        <v>4.3550000000000004</v>
      </c>
    </row>
    <row r="122" spans="1:12" ht="14.5" customHeight="1" x14ac:dyDescent="0.35">
      <c r="A122" s="12">
        <v>53</v>
      </c>
      <c r="B122" s="12">
        <v>0</v>
      </c>
      <c r="C122" s="18">
        <f>A122+(B122/12)</f>
        <v>53</v>
      </c>
      <c r="D122" s="18">
        <v>1.1000000000000001</v>
      </c>
      <c r="E122" s="18">
        <v>0.22</v>
      </c>
      <c r="H122" s="23">
        <f t="shared" si="51"/>
        <v>53</v>
      </c>
      <c r="I122" s="18">
        <f t="shared" si="52"/>
        <v>1.1000000000000001</v>
      </c>
      <c r="J122" s="18">
        <f t="shared" si="57"/>
        <v>6.4625000000000004</v>
      </c>
      <c r="K122" s="12">
        <f t="shared" si="58"/>
        <v>0.22</v>
      </c>
      <c r="L122" s="18">
        <f t="shared" si="55"/>
        <v>1.4217500000000001</v>
      </c>
    </row>
    <row r="123" spans="1:12" ht="14.5" customHeight="1" x14ac:dyDescent="0.35">
      <c r="A123" s="12">
        <v>55</v>
      </c>
      <c r="B123" s="12">
        <v>9</v>
      </c>
      <c r="C123" s="18">
        <f t="shared" si="56"/>
        <v>55.75</v>
      </c>
      <c r="D123" s="18">
        <v>1.3</v>
      </c>
      <c r="E123" s="18">
        <v>0</v>
      </c>
      <c r="H123" s="23">
        <f t="shared" si="51"/>
        <v>55.75</v>
      </c>
      <c r="I123" s="18">
        <f t="shared" si="52"/>
        <v>1.3</v>
      </c>
      <c r="J123" s="18">
        <f t="shared" si="57"/>
        <v>5.2</v>
      </c>
      <c r="K123" s="12">
        <f t="shared" si="58"/>
        <v>0</v>
      </c>
      <c r="L123" s="18">
        <f t="shared" si="55"/>
        <v>0</v>
      </c>
    </row>
    <row r="124" spans="1:12" ht="14.5" customHeight="1" x14ac:dyDescent="0.35">
      <c r="A124" s="12">
        <v>61</v>
      </c>
      <c r="B124" s="12">
        <v>0</v>
      </c>
      <c r="C124" s="18">
        <f t="shared" si="56"/>
        <v>61</v>
      </c>
      <c r="D124" s="18">
        <v>0.4</v>
      </c>
      <c r="E124" s="18">
        <v>0</v>
      </c>
      <c r="H124" s="23">
        <f t="shared" si="51"/>
        <v>61</v>
      </c>
      <c r="I124" s="18">
        <f t="shared" si="52"/>
        <v>0.4</v>
      </c>
      <c r="J124" s="18">
        <f t="shared" si="57"/>
        <v>0.96666666666666723</v>
      </c>
      <c r="K124" s="12">
        <f t="shared" si="58"/>
        <v>0</v>
      </c>
      <c r="L124" s="18">
        <f>J124*K124</f>
        <v>0</v>
      </c>
    </row>
    <row r="125" spans="1:12" ht="14.5" customHeight="1" x14ac:dyDescent="0.35">
      <c r="A125" s="12">
        <v>62</v>
      </c>
      <c r="B125" s="12">
        <v>0</v>
      </c>
      <c r="C125" s="18">
        <f t="shared" si="56"/>
        <v>62</v>
      </c>
      <c r="D125" s="18"/>
      <c r="F125" s="12" t="s">
        <v>17</v>
      </c>
      <c r="H125" s="23">
        <v>60.583333333333336</v>
      </c>
      <c r="I125" s="18">
        <f t="shared" si="52"/>
        <v>0</v>
      </c>
      <c r="J125" s="18">
        <v>0</v>
      </c>
      <c r="K125" s="12">
        <f t="shared" si="58"/>
        <v>0</v>
      </c>
      <c r="L125" s="18">
        <f t="shared" ref="L125" si="59">J125*K125</f>
        <v>0</v>
      </c>
    </row>
    <row r="126" spans="1:12" ht="14.5" customHeight="1" x14ac:dyDescent="0.35">
      <c r="C126" s="18"/>
      <c r="D126" s="18"/>
    </row>
    <row r="127" spans="1:12" ht="14.5" customHeight="1" x14ac:dyDescent="0.35">
      <c r="A127" s="16" t="s">
        <v>97</v>
      </c>
      <c r="B127" s="24">
        <f>SUM(J114:J125)</f>
        <v>44.298750000000005</v>
      </c>
      <c r="C127" s="12" t="s">
        <v>101</v>
      </c>
      <c r="D127" s="18" t="s">
        <v>111</v>
      </c>
      <c r="E127" s="12">
        <v>145.7225</v>
      </c>
      <c r="F127" s="12" t="s">
        <v>58</v>
      </c>
      <c r="G127" s="12" t="s">
        <v>121</v>
      </c>
      <c r="H127" s="20">
        <f>P4-(((T1F4_Flat_Level-Q4)/(Q3-Q4))*(P4-P3))</f>
        <v>22.971567028985508</v>
      </c>
    </row>
    <row r="128" spans="1:12" ht="14.5" customHeight="1" x14ac:dyDescent="0.35">
      <c r="A128" s="12" t="s">
        <v>99</v>
      </c>
      <c r="B128" s="18">
        <f>SUM(L114:L125)</f>
        <v>23.026191666666666</v>
      </c>
      <c r="C128" s="12" t="s">
        <v>100</v>
      </c>
      <c r="D128" s="18" t="s">
        <v>94</v>
      </c>
      <c r="E128" s="12">
        <f>SUM(AG:AG)</f>
        <v>44.299349999999237</v>
      </c>
      <c r="F128" s="12" t="s">
        <v>101</v>
      </c>
      <c r="G128" s="12" t="s">
        <v>123</v>
      </c>
      <c r="H128" s="20">
        <f>P42+(((T1F4_Flat_Level-Q42)/(Q43-Q42))*(P43-P42))</f>
        <v>62.191769005847931</v>
      </c>
    </row>
    <row r="129" spans="1:16" ht="14.5" customHeight="1" x14ac:dyDescent="0.35">
      <c r="A129" s="12" t="s">
        <v>98</v>
      </c>
      <c r="B129" s="25">
        <f>B127/E130</f>
        <v>1.1294880639863512</v>
      </c>
      <c r="C129" s="12" t="s">
        <v>58</v>
      </c>
      <c r="D129" s="18" t="s">
        <v>112</v>
      </c>
      <c r="E129" s="21">
        <f>B127-E128</f>
        <v>-5.999999992312155E-4</v>
      </c>
      <c r="F129" s="12" t="s">
        <v>101</v>
      </c>
      <c r="G129" s="12" t="s">
        <v>175</v>
      </c>
      <c r="H129" s="20">
        <f>H128-H127</f>
        <v>39.220201976862427</v>
      </c>
    </row>
    <row r="130" spans="1:16" ht="14.5" customHeight="1" x14ac:dyDescent="0.35">
      <c r="A130" s="12" t="s">
        <v>102</v>
      </c>
      <c r="B130" s="21">
        <f>B128/B127</f>
        <v>0.51979325977971524</v>
      </c>
      <c r="C130" s="12" t="s">
        <v>103</v>
      </c>
      <c r="D130" s="18" t="s">
        <v>127</v>
      </c>
      <c r="E130" s="23">
        <f>H129</f>
        <v>39.220201976862427</v>
      </c>
      <c r="F130" s="12" t="s">
        <v>58</v>
      </c>
      <c r="G130" s="12" t="s">
        <v>180</v>
      </c>
      <c r="H130" s="36">
        <f>H129/$D$132</f>
        <v>0.9585385411860472</v>
      </c>
    </row>
    <row r="132" spans="1:16" ht="14.5" customHeight="1" x14ac:dyDescent="0.35">
      <c r="A132" s="12" t="s">
        <v>178</v>
      </c>
      <c r="B132" s="12">
        <v>40</v>
      </c>
      <c r="C132" s="12">
        <v>11</v>
      </c>
      <c r="D132" s="15">
        <f>B132+(C132/12)</f>
        <v>40.916666666666664</v>
      </c>
      <c r="E132" s="12" t="s">
        <v>58</v>
      </c>
      <c r="P132" s="32"/>
    </row>
    <row r="133" spans="1:16" ht="14.5" customHeight="1" x14ac:dyDescent="0.35">
      <c r="P133" s="32"/>
    </row>
    <row r="134" spans="1:16" ht="14.5" customHeight="1" x14ac:dyDescent="0.35">
      <c r="D134" s="15" t="s">
        <v>70</v>
      </c>
      <c r="F134" s="12" t="s">
        <v>71</v>
      </c>
    </row>
    <row r="135" spans="1:16" ht="14.5" customHeight="1" x14ac:dyDescent="0.35">
      <c r="D135" s="15">
        <v>1</v>
      </c>
      <c r="E135" s="12" t="s">
        <v>69</v>
      </c>
      <c r="F135" s="12">
        <v>10</v>
      </c>
    </row>
    <row r="136" spans="1:16" ht="14.5" customHeight="1" x14ac:dyDescent="0.35">
      <c r="D136" s="15">
        <v>1.5</v>
      </c>
      <c r="E136" s="12">
        <v>1</v>
      </c>
      <c r="F136" s="12">
        <f>F135+((F137-F135)*(($D136-$D135)/($D137-$D135)))</f>
        <v>15</v>
      </c>
    </row>
    <row r="137" spans="1:16" ht="14.5" customHeight="1" x14ac:dyDescent="0.35">
      <c r="D137" s="15">
        <v>2</v>
      </c>
      <c r="E137" s="12" t="s">
        <v>69</v>
      </c>
      <c r="F137" s="12">
        <v>20</v>
      </c>
    </row>
    <row r="138" spans="1:16" ht="14.5" customHeight="1" x14ac:dyDescent="0.35">
      <c r="D138" s="15">
        <v>2.33</v>
      </c>
      <c r="E138" s="12">
        <v>2</v>
      </c>
      <c r="F138" s="12">
        <f>F137+((F140-F137)*(($D138-$D137)/($D140-$D137)))</f>
        <v>23.3</v>
      </c>
    </row>
    <row r="139" spans="1:16" ht="14.5" customHeight="1" x14ac:dyDescent="0.35">
      <c r="D139" s="15">
        <v>2.67</v>
      </c>
      <c r="E139" s="12">
        <v>2</v>
      </c>
      <c r="F139" s="12">
        <f>F137+((F140-F137)*(($D139-$D137)/($D140-$D137)))</f>
        <v>26.7</v>
      </c>
    </row>
    <row r="140" spans="1:16" ht="14.5" customHeight="1" x14ac:dyDescent="0.35">
      <c r="D140" s="15">
        <v>3</v>
      </c>
      <c r="E140" s="12" t="s">
        <v>69</v>
      </c>
      <c r="F140" s="12">
        <v>30</v>
      </c>
    </row>
    <row r="141" spans="1:16" ht="14.5" customHeight="1" x14ac:dyDescent="0.35">
      <c r="D141" s="15">
        <v>3.25</v>
      </c>
      <c r="E141" s="12">
        <v>3</v>
      </c>
      <c r="F141" s="12">
        <f>F140+((F144-F140)*(($D141-$D140)/($D144-$D140)))</f>
        <v>32.5</v>
      </c>
    </row>
    <row r="142" spans="1:16" ht="14.5" customHeight="1" x14ac:dyDescent="0.35">
      <c r="D142" s="15">
        <v>3.5</v>
      </c>
      <c r="E142" s="12">
        <v>3</v>
      </c>
      <c r="F142" s="12">
        <f>F140+((F144-F140)*(($D142-$D140)/($D144-$D140)))</f>
        <v>35</v>
      </c>
    </row>
    <row r="143" spans="1:16" ht="14.5" customHeight="1" x14ac:dyDescent="0.35">
      <c r="D143" s="15">
        <v>3.75</v>
      </c>
      <c r="E143" s="12">
        <v>3</v>
      </c>
      <c r="F143" s="12">
        <f>F140+((F144-F140)*(($D143-$D140)/($D144-$D140)))</f>
        <v>37.5</v>
      </c>
    </row>
    <row r="144" spans="1:16" ht="14.5" customHeight="1" x14ac:dyDescent="0.35">
      <c r="D144" s="15">
        <v>4</v>
      </c>
      <c r="E144" s="12" t="s">
        <v>69</v>
      </c>
      <c r="F144" s="12">
        <v>40</v>
      </c>
    </row>
    <row r="145" spans="4:6" ht="14.5" customHeight="1" x14ac:dyDescent="0.35">
      <c r="D145" s="15">
        <v>4.2</v>
      </c>
      <c r="E145" s="12">
        <v>4</v>
      </c>
      <c r="F145" s="12">
        <f>F144+((F149-F144)*(($D145-$D144)/($D149-$D144)))</f>
        <v>42</v>
      </c>
    </row>
    <row r="146" spans="4:6" ht="14.5" customHeight="1" x14ac:dyDescent="0.35">
      <c r="D146" s="15">
        <v>4.4000000000000004</v>
      </c>
      <c r="E146" s="12">
        <v>4</v>
      </c>
      <c r="F146" s="12">
        <f>F144+((F149-F144)*(($D146-$D144)/($D149-$D144)))</f>
        <v>44</v>
      </c>
    </row>
    <row r="147" spans="4:6" ht="14.5" customHeight="1" x14ac:dyDescent="0.35">
      <c r="D147" s="15">
        <v>4.5999999999999996</v>
      </c>
      <c r="E147" s="12">
        <v>4</v>
      </c>
      <c r="F147" s="12">
        <f>F144+((F149-F144)*(($D147-$D144)/($D149-$D144)))</f>
        <v>46</v>
      </c>
    </row>
    <row r="148" spans="4:6" ht="14.5" customHeight="1" x14ac:dyDescent="0.35">
      <c r="D148" s="15">
        <v>4.8</v>
      </c>
      <c r="E148" s="12">
        <v>4</v>
      </c>
      <c r="F148" s="12">
        <f>F144+((F149-F144)*(($D148-$D144)/($D149-$D144)))</f>
        <v>48</v>
      </c>
    </row>
    <row r="149" spans="4:6" ht="14.5" customHeight="1" x14ac:dyDescent="0.35">
      <c r="D149" s="15">
        <v>5</v>
      </c>
      <c r="E149" s="12" t="s">
        <v>69</v>
      </c>
      <c r="F149" s="12">
        <v>50</v>
      </c>
    </row>
    <row r="150" spans="4:6" ht="14.5" customHeight="1" x14ac:dyDescent="0.35">
      <c r="D150" s="15">
        <f>D149+(1/6)</f>
        <v>5.166666666666667</v>
      </c>
      <c r="E150" s="12">
        <v>5</v>
      </c>
      <c r="F150" s="12">
        <f>F149+((F155-F149)*(($D150-$D149)/($D155-$D149)))</f>
        <v>51.666666666666664</v>
      </c>
    </row>
    <row r="151" spans="4:6" ht="14.5" customHeight="1" x14ac:dyDescent="0.35">
      <c r="D151" s="15">
        <f t="shared" ref="D151:D155" si="60">D150+(1/6)</f>
        <v>5.3333333333333339</v>
      </c>
      <c r="E151" s="12">
        <v>5</v>
      </c>
      <c r="F151" s="12">
        <f>F149+((F155-F149)*(($D151-$D149)/($D155-$D149)))</f>
        <v>53.333333333333336</v>
      </c>
    </row>
    <row r="152" spans="4:6" ht="14.5" customHeight="1" x14ac:dyDescent="0.35">
      <c r="D152" s="15">
        <f t="shared" si="60"/>
        <v>5.5000000000000009</v>
      </c>
      <c r="E152" s="12">
        <v>5</v>
      </c>
      <c r="F152" s="12">
        <f>F149+((F155-F149)*(($D152-$D149)/($D155-$D149)))</f>
        <v>55</v>
      </c>
    </row>
    <row r="153" spans="4:6" ht="14.5" customHeight="1" x14ac:dyDescent="0.35">
      <c r="D153" s="15">
        <f t="shared" si="60"/>
        <v>5.6666666666666679</v>
      </c>
      <c r="E153" s="12">
        <v>5</v>
      </c>
      <c r="F153" s="12">
        <f>F149+((F155-F149)*(($D153-$D149)/($D155-$D149)))</f>
        <v>56.666666666666664</v>
      </c>
    </row>
    <row r="154" spans="4:6" ht="14.5" customHeight="1" x14ac:dyDescent="0.35">
      <c r="D154" s="15">
        <f t="shared" si="60"/>
        <v>5.8333333333333348</v>
      </c>
      <c r="E154" s="12">
        <v>5</v>
      </c>
      <c r="F154" s="12">
        <f>F149+((F155-F149)*(($D154-$D149)/($D155-$D149)))</f>
        <v>58.333333333333336</v>
      </c>
    </row>
    <row r="155" spans="4:6" ht="14.5" customHeight="1" x14ac:dyDescent="0.35">
      <c r="D155" s="15">
        <f t="shared" si="60"/>
        <v>6.0000000000000018</v>
      </c>
      <c r="E155" s="12" t="s">
        <v>69</v>
      </c>
      <c r="F155" s="12">
        <v>60</v>
      </c>
    </row>
    <row r="156" spans="4:6" ht="14.5" customHeight="1" x14ac:dyDescent="0.35">
      <c r="D156" s="15">
        <f>D155+(1/7)</f>
        <v>6.142857142857145</v>
      </c>
      <c r="E156" s="12">
        <v>6</v>
      </c>
      <c r="F156" s="12">
        <f>F155+((F162-F155)*(($D156-$D155)/($D162-$D155)))</f>
        <v>61.428571428571431</v>
      </c>
    </row>
    <row r="157" spans="4:6" ht="14.5" customHeight="1" x14ac:dyDescent="0.35">
      <c r="D157" s="15">
        <f t="shared" ref="D157:D162" si="61">D156+(1/7)</f>
        <v>6.2857142857142883</v>
      </c>
      <c r="E157" s="12">
        <v>6</v>
      </c>
      <c r="F157" s="12">
        <f>F155+((F162-F155)*(($D157-$D155)/($D162-$D155)))</f>
        <v>62.857142857142854</v>
      </c>
    </row>
    <row r="158" spans="4:6" ht="14.5" customHeight="1" x14ac:dyDescent="0.35">
      <c r="D158" s="15">
        <f t="shared" si="61"/>
        <v>6.4285714285714315</v>
      </c>
      <c r="E158" s="12">
        <v>6</v>
      </c>
      <c r="F158" s="12">
        <f>F155+((F162-F155)*(($D158-$D155)/($D162-$D155)))</f>
        <v>64.285714285714292</v>
      </c>
    </row>
    <row r="159" spans="4:6" ht="14.5" customHeight="1" x14ac:dyDescent="0.35">
      <c r="D159" s="15">
        <f t="shared" si="61"/>
        <v>6.5714285714285747</v>
      </c>
      <c r="E159" s="12">
        <v>6</v>
      </c>
      <c r="F159" s="12">
        <f>F155+((F162-F155)*(($D159-$D155)/($D162-$D155)))</f>
        <v>65.714285714285708</v>
      </c>
    </row>
    <row r="160" spans="4:6" ht="14.5" customHeight="1" x14ac:dyDescent="0.35">
      <c r="D160" s="15">
        <f t="shared" si="61"/>
        <v>6.714285714285718</v>
      </c>
      <c r="E160" s="12">
        <v>6</v>
      </c>
      <c r="F160" s="12">
        <f>F155+((F162-F155)*(($D160-$D155)/($D162-$D155)))</f>
        <v>67.142857142857139</v>
      </c>
    </row>
    <row r="161" spans="4:6" ht="14.5" customHeight="1" x14ac:dyDescent="0.35">
      <c r="D161" s="15">
        <f t="shared" si="61"/>
        <v>6.8571428571428612</v>
      </c>
      <c r="E161" s="12">
        <v>6</v>
      </c>
      <c r="F161" s="12">
        <f>F155+((F162-F155)*(($D161-$D155)/($D162-$D155)))</f>
        <v>68.571428571428569</v>
      </c>
    </row>
    <row r="162" spans="4:6" ht="14.5" customHeight="1" x14ac:dyDescent="0.35">
      <c r="D162" s="15">
        <f t="shared" si="61"/>
        <v>7.0000000000000044</v>
      </c>
      <c r="E162" s="12" t="s">
        <v>69</v>
      </c>
      <c r="F162" s="12">
        <v>70</v>
      </c>
    </row>
  </sheetData>
  <printOptions horizontalCentered="1" gridLines="1"/>
  <pageMargins left="0.2" right="0.2" top="0.5" bottom="0.5" header="0.3" footer="0.3"/>
  <pageSetup scale="68" fitToHeight="0" orientation="portrait" r:id="rId1"/>
  <headerFooter>
    <oddHeader>&amp;L&amp;A&amp;R&amp;D &amp;T</oddHeader>
    <oddFooter>&amp;LPage &amp;P of &amp;N&amp;R&amp;Z&amp;F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1"/>
  <sheetViews>
    <sheetView topLeftCell="A13" workbookViewId="0">
      <selection activeCell="H54" sqref="H54"/>
    </sheetView>
  </sheetViews>
  <sheetFormatPr defaultColWidth="8.7265625" defaultRowHeight="14.5" customHeight="1" x14ac:dyDescent="0.35"/>
  <cols>
    <col min="1" max="1" width="10.453125" style="21" customWidth="1"/>
    <col min="2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3</v>
      </c>
      <c r="F1" s="21" t="s">
        <v>18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2</v>
      </c>
      <c r="B3" s="21">
        <v>11</v>
      </c>
      <c r="C3" s="21">
        <f t="shared" ref="C3:C14" si="0">A3+(B3/12)</f>
        <v>2.9166666666666665</v>
      </c>
      <c r="D3" s="21">
        <v>1.3</v>
      </c>
      <c r="F3" s="21" t="s">
        <v>44</v>
      </c>
    </row>
    <row r="4" spans="1:6" ht="14.5" customHeight="1" x14ac:dyDescent="0.35">
      <c r="A4" s="21">
        <v>3</v>
      </c>
      <c r="B4" s="21">
        <v>7</v>
      </c>
      <c r="C4" s="21">
        <f t="shared" si="0"/>
        <v>3.5833333333333335</v>
      </c>
      <c r="D4" s="21">
        <v>1.4</v>
      </c>
      <c r="E4" s="21">
        <v>-7.0000000000000007E-2</v>
      </c>
    </row>
    <row r="5" spans="1:6" ht="14.5" customHeight="1" x14ac:dyDescent="0.35">
      <c r="A5" s="21">
        <v>3</v>
      </c>
      <c r="B5" s="21">
        <v>9</v>
      </c>
      <c r="C5" s="21">
        <f t="shared" si="0"/>
        <v>3.75</v>
      </c>
      <c r="D5" s="21">
        <v>1.06</v>
      </c>
      <c r="E5" s="21">
        <v>-0.12</v>
      </c>
    </row>
    <row r="6" spans="1:6" ht="14.5" customHeight="1" x14ac:dyDescent="0.35">
      <c r="A6" s="21">
        <v>3</v>
      </c>
      <c r="B6" s="21">
        <v>11</v>
      </c>
      <c r="C6" s="21">
        <f t="shared" ref="C6:C9" si="1">A6+(B6/12)</f>
        <v>3.9166666666666665</v>
      </c>
      <c r="D6" s="21">
        <v>1.31</v>
      </c>
      <c r="E6" s="21">
        <v>0.11</v>
      </c>
    </row>
    <row r="7" spans="1:6" s="25" customFormat="1" ht="14.5" customHeight="1" x14ac:dyDescent="0.35"/>
    <row r="8" spans="1:6" ht="14.5" customHeight="1" x14ac:dyDescent="0.35">
      <c r="A8" s="21">
        <v>5</v>
      </c>
      <c r="B8" s="21">
        <v>5</v>
      </c>
      <c r="C8" s="21">
        <f t="shared" si="1"/>
        <v>5.416666666666667</v>
      </c>
      <c r="D8" s="21">
        <v>1.56</v>
      </c>
      <c r="F8" s="21" t="s">
        <v>20</v>
      </c>
    </row>
    <row r="9" spans="1:6" ht="14.5" customHeight="1" x14ac:dyDescent="0.35">
      <c r="A9" s="21">
        <v>6</v>
      </c>
      <c r="B9" s="21">
        <v>6</v>
      </c>
      <c r="C9" s="21">
        <f t="shared" si="1"/>
        <v>6.5</v>
      </c>
      <c r="D9" s="21">
        <v>1.77</v>
      </c>
      <c r="E9" s="21">
        <v>0.4</v>
      </c>
    </row>
    <row r="10" spans="1:6" ht="14.5" customHeight="1" x14ac:dyDescent="0.35">
      <c r="A10" s="21">
        <v>6</v>
      </c>
      <c r="B10" s="21">
        <v>1</v>
      </c>
      <c r="C10" s="21">
        <f t="shared" si="0"/>
        <v>6.083333333333333</v>
      </c>
      <c r="D10" s="21">
        <v>1.74</v>
      </c>
      <c r="E10" s="21">
        <v>0.3</v>
      </c>
    </row>
    <row r="11" spans="1:6" ht="14.5" customHeight="1" x14ac:dyDescent="0.35">
      <c r="A11" s="21">
        <v>7</v>
      </c>
      <c r="B11" s="21">
        <v>0</v>
      </c>
      <c r="C11" s="21">
        <f t="shared" ref="C11:C13" si="2">A11+(B11/12)</f>
        <v>7</v>
      </c>
      <c r="D11" s="21">
        <v>2.98</v>
      </c>
    </row>
    <row r="12" spans="1:6" s="25" customFormat="1" ht="14.5" customHeight="1" x14ac:dyDescent="0.35"/>
    <row r="13" spans="1:6" ht="14.5" customHeight="1" x14ac:dyDescent="0.35">
      <c r="A13" s="21">
        <v>7</v>
      </c>
      <c r="B13" s="21">
        <v>5</v>
      </c>
      <c r="C13" s="21">
        <f t="shared" si="2"/>
        <v>7.416666666666667</v>
      </c>
      <c r="F13" s="21" t="s">
        <v>20</v>
      </c>
    </row>
    <row r="14" spans="1:6" ht="14.5" customHeight="1" x14ac:dyDescent="0.35">
      <c r="A14" s="21">
        <v>7</v>
      </c>
      <c r="B14" s="21">
        <v>8</v>
      </c>
      <c r="C14" s="21">
        <f t="shared" si="0"/>
        <v>7.666666666666667</v>
      </c>
      <c r="D14" s="21">
        <v>2</v>
      </c>
      <c r="E14" s="21">
        <v>0.8</v>
      </c>
    </row>
    <row r="15" spans="1:6" ht="14.5" customHeight="1" x14ac:dyDescent="0.35">
      <c r="A15" s="21">
        <v>9</v>
      </c>
      <c r="B15" s="21">
        <v>0</v>
      </c>
      <c r="C15" s="21">
        <f t="shared" ref="C15:C25" si="3">A15+(B15/12)</f>
        <v>9</v>
      </c>
      <c r="D15" s="21">
        <v>2.4</v>
      </c>
      <c r="F15" s="21" t="s">
        <v>20</v>
      </c>
    </row>
    <row r="16" spans="1:6" ht="14.5" customHeight="1" x14ac:dyDescent="0.35">
      <c r="A16" s="21">
        <v>10</v>
      </c>
      <c r="B16" s="21">
        <v>10</v>
      </c>
      <c r="C16" s="21">
        <f t="shared" si="3"/>
        <v>10.833333333333334</v>
      </c>
      <c r="D16" s="21">
        <v>2.85</v>
      </c>
      <c r="E16" s="21">
        <v>1.31</v>
      </c>
    </row>
    <row r="17" spans="1:16" ht="14.5" customHeight="1" x14ac:dyDescent="0.35">
      <c r="A17" s="21">
        <v>11</v>
      </c>
      <c r="B17" s="21">
        <v>9</v>
      </c>
      <c r="C17" s="21">
        <f t="shared" si="3"/>
        <v>11.75</v>
      </c>
      <c r="D17" s="21">
        <v>3.06</v>
      </c>
      <c r="E17" s="21">
        <v>1.27</v>
      </c>
    </row>
    <row r="18" spans="1:16" ht="14.5" customHeight="1" x14ac:dyDescent="0.35">
      <c r="A18" s="21">
        <v>12</v>
      </c>
      <c r="B18" s="21">
        <v>8</v>
      </c>
      <c r="C18" s="21">
        <f t="shared" si="3"/>
        <v>12.666666666666666</v>
      </c>
      <c r="D18" s="21">
        <v>3</v>
      </c>
      <c r="F18" s="21" t="s">
        <v>20</v>
      </c>
    </row>
    <row r="19" spans="1:16" ht="14.5" customHeight="1" x14ac:dyDescent="0.35">
      <c r="A19" s="21">
        <v>13</v>
      </c>
      <c r="B19" s="21">
        <v>0</v>
      </c>
      <c r="C19" s="21">
        <f t="shared" si="3"/>
        <v>13</v>
      </c>
      <c r="D19" s="21">
        <v>2.86</v>
      </c>
      <c r="E19" s="21">
        <v>0.21</v>
      </c>
    </row>
    <row r="20" spans="1:16" ht="14.5" customHeight="1" x14ac:dyDescent="0.35">
      <c r="A20" s="21">
        <v>13</v>
      </c>
      <c r="B20" s="21">
        <v>5</v>
      </c>
      <c r="C20" s="21">
        <f t="shared" si="3"/>
        <v>13.416666666666666</v>
      </c>
      <c r="D20" s="21">
        <v>2.9</v>
      </c>
      <c r="F20" s="21" t="s">
        <v>20</v>
      </c>
    </row>
    <row r="21" spans="1:16" ht="14.5" customHeight="1" x14ac:dyDescent="0.35">
      <c r="A21" s="21">
        <v>14</v>
      </c>
      <c r="B21" s="21">
        <v>0</v>
      </c>
      <c r="C21" s="21">
        <f t="shared" si="3"/>
        <v>14</v>
      </c>
      <c r="D21" s="21">
        <v>0.6</v>
      </c>
      <c r="E21" s="21">
        <v>-0.02</v>
      </c>
    </row>
    <row r="22" spans="1:16" ht="14.5" customHeight="1" x14ac:dyDescent="0.35">
      <c r="A22" s="21">
        <v>15</v>
      </c>
      <c r="B22" s="21">
        <v>0</v>
      </c>
      <c r="C22" s="21">
        <f t="shared" si="3"/>
        <v>15</v>
      </c>
      <c r="D22" s="21">
        <v>0.6</v>
      </c>
      <c r="F22" s="21" t="s">
        <v>20</v>
      </c>
    </row>
    <row r="23" spans="1:16" ht="14.5" customHeight="1" x14ac:dyDescent="0.35">
      <c r="A23" s="21">
        <v>17</v>
      </c>
      <c r="B23" s="21">
        <v>0</v>
      </c>
      <c r="C23" s="21">
        <f t="shared" si="3"/>
        <v>17</v>
      </c>
      <c r="D23" s="21">
        <v>1.07</v>
      </c>
      <c r="E23" s="21">
        <v>-0.08</v>
      </c>
    </row>
    <row r="24" spans="1:16" ht="14.5" customHeight="1" x14ac:dyDescent="0.35">
      <c r="A24" s="21">
        <v>17</v>
      </c>
      <c r="B24" s="21">
        <v>10</v>
      </c>
      <c r="C24" s="21">
        <f t="shared" si="3"/>
        <v>17.833333333333332</v>
      </c>
      <c r="D24" s="21">
        <v>0.35</v>
      </c>
      <c r="F24" s="21" t="s">
        <v>20</v>
      </c>
    </row>
    <row r="25" spans="1:16" ht="14.5" customHeight="1" x14ac:dyDescent="0.35">
      <c r="A25" s="21">
        <v>18</v>
      </c>
      <c r="B25" s="21">
        <v>8</v>
      </c>
      <c r="C25" s="21">
        <f t="shared" si="3"/>
        <v>18.666666666666668</v>
      </c>
      <c r="E25" s="21">
        <v>0</v>
      </c>
      <c r="F25" s="21" t="s">
        <v>36</v>
      </c>
    </row>
    <row r="27" spans="1:16" ht="14.5" customHeight="1" x14ac:dyDescent="0.35">
      <c r="A27" s="21" t="s">
        <v>159</v>
      </c>
    </row>
    <row r="28" spans="1:16" ht="14.5" customHeight="1" x14ac:dyDescent="0.35">
      <c r="A28" s="25" t="s">
        <v>144</v>
      </c>
      <c r="B28" s="12"/>
      <c r="C28" s="17" t="s">
        <v>13</v>
      </c>
      <c r="D28" s="17" t="s">
        <v>29</v>
      </c>
      <c r="E28" s="12" t="s">
        <v>7</v>
      </c>
      <c r="F28" s="12" t="s">
        <v>3</v>
      </c>
      <c r="G28" s="25"/>
      <c r="H28" s="25" t="s">
        <v>144</v>
      </c>
      <c r="I28" s="12"/>
      <c r="J28" s="17" t="s">
        <v>13</v>
      </c>
      <c r="K28" s="17" t="s">
        <v>29</v>
      </c>
      <c r="L28" s="12" t="s">
        <v>7</v>
      </c>
      <c r="M28" s="12" t="s">
        <v>3</v>
      </c>
    </row>
    <row r="29" spans="1:16" ht="14.5" customHeight="1" x14ac:dyDescent="0.35">
      <c r="A29" s="21">
        <v>2</v>
      </c>
      <c r="B29" s="21">
        <v>11</v>
      </c>
      <c r="C29" s="21">
        <f>A29+(B29/12)</f>
        <v>2.9166666666666665</v>
      </c>
      <c r="D29" s="21">
        <v>1.3</v>
      </c>
      <c r="F29" s="21" t="s">
        <v>30</v>
      </c>
      <c r="H29" s="25">
        <v>2</v>
      </c>
      <c r="I29" s="25">
        <v>11</v>
      </c>
      <c r="J29" s="25">
        <f t="shared" ref="J29:J48" si="4">H29+(I29/12)</f>
        <v>2.9166666666666665</v>
      </c>
      <c r="K29" s="25">
        <v>1.3</v>
      </c>
      <c r="L29" s="25"/>
      <c r="M29" s="25" t="s">
        <v>30</v>
      </c>
      <c r="N29" s="21" t="b">
        <f>C29=J29</f>
        <v>1</v>
      </c>
      <c r="O29" s="25" t="b">
        <f t="shared" ref="O29:P29" si="5">D29=K29</f>
        <v>1</v>
      </c>
      <c r="P29" s="25" t="b">
        <f t="shared" si="5"/>
        <v>1</v>
      </c>
    </row>
    <row r="30" spans="1:16" ht="14.5" customHeight="1" x14ac:dyDescent="0.35">
      <c r="A30" s="21">
        <v>3</v>
      </c>
      <c r="B30" s="21">
        <v>7</v>
      </c>
      <c r="C30" s="25">
        <f t="shared" ref="C30:C48" si="6">A30+(B30/12)</f>
        <v>3.5833333333333335</v>
      </c>
      <c r="D30" s="21">
        <v>1.4</v>
      </c>
      <c r="E30" s="21">
        <v>-7.0000000000000007E-2</v>
      </c>
      <c r="H30" s="25">
        <v>3</v>
      </c>
      <c r="I30" s="25">
        <v>7</v>
      </c>
      <c r="J30" s="25">
        <f t="shared" si="4"/>
        <v>3.5833333333333335</v>
      </c>
      <c r="K30" s="25">
        <v>1.4</v>
      </c>
      <c r="L30" s="25">
        <v>-7.0000000000000007E-2</v>
      </c>
      <c r="M30" s="25"/>
      <c r="N30" s="25" t="b">
        <f t="shared" ref="N30:N48" si="7">C30=J30</f>
        <v>1</v>
      </c>
      <c r="O30" s="25" t="b">
        <f t="shared" ref="O30:O48" si="8">D30=K30</f>
        <v>1</v>
      </c>
      <c r="P30" s="25" t="b">
        <f t="shared" ref="P30:P48" si="9">E30=L30</f>
        <v>1</v>
      </c>
    </row>
    <row r="31" spans="1:16" ht="14.5" customHeight="1" x14ac:dyDescent="0.35">
      <c r="A31" s="21">
        <v>3</v>
      </c>
      <c r="B31" s="21">
        <v>9</v>
      </c>
      <c r="C31" s="25">
        <f t="shared" si="6"/>
        <v>3.75</v>
      </c>
      <c r="D31" s="21">
        <v>1.06</v>
      </c>
      <c r="E31" s="21">
        <v>-0.12</v>
      </c>
      <c r="H31" s="25">
        <v>3</v>
      </c>
      <c r="I31" s="25">
        <v>9</v>
      </c>
      <c r="J31" s="25">
        <f t="shared" si="4"/>
        <v>3.75</v>
      </c>
      <c r="K31" s="25">
        <v>1.06</v>
      </c>
      <c r="L31" s="25">
        <v>-0.12</v>
      </c>
      <c r="M31" s="25"/>
      <c r="N31" s="25" t="b">
        <f t="shared" si="7"/>
        <v>1</v>
      </c>
      <c r="O31" s="25" t="b">
        <f t="shared" si="8"/>
        <v>1</v>
      </c>
      <c r="P31" s="25" t="b">
        <f t="shared" si="9"/>
        <v>1</v>
      </c>
    </row>
    <row r="32" spans="1:16" s="25" customFormat="1" ht="14.5" customHeight="1" x14ac:dyDescent="0.35">
      <c r="A32" s="25">
        <v>3</v>
      </c>
      <c r="B32" s="25">
        <v>11</v>
      </c>
      <c r="C32" s="25">
        <f t="shared" si="6"/>
        <v>3.9166666666666665</v>
      </c>
      <c r="D32" s="25">
        <v>1.31</v>
      </c>
      <c r="E32" s="25">
        <v>0.11</v>
      </c>
      <c r="H32" s="25">
        <v>3</v>
      </c>
      <c r="I32" s="25">
        <v>11</v>
      </c>
      <c r="J32" s="25">
        <f t="shared" si="4"/>
        <v>3.9166666666666665</v>
      </c>
      <c r="K32" s="25">
        <v>1.31</v>
      </c>
      <c r="L32" s="25">
        <v>0.11</v>
      </c>
      <c r="N32" s="25" t="b">
        <f t="shared" si="7"/>
        <v>1</v>
      </c>
      <c r="O32" s="25" t="b">
        <f t="shared" si="8"/>
        <v>1</v>
      </c>
      <c r="P32" s="25" t="b">
        <f t="shared" si="9"/>
        <v>1</v>
      </c>
    </row>
    <row r="33" spans="1:16" ht="14.5" customHeight="1" x14ac:dyDescent="0.35">
      <c r="A33" s="21">
        <v>5</v>
      </c>
      <c r="B33" s="21">
        <v>5</v>
      </c>
      <c r="C33" s="25">
        <f t="shared" si="6"/>
        <v>5.416666666666667</v>
      </c>
      <c r="D33" s="21">
        <v>1.56</v>
      </c>
      <c r="F33" s="21" t="s">
        <v>157</v>
      </c>
      <c r="H33" s="25">
        <v>5</v>
      </c>
      <c r="I33" s="25">
        <v>5</v>
      </c>
      <c r="J33" s="25">
        <f t="shared" si="4"/>
        <v>5.416666666666667</v>
      </c>
      <c r="K33" s="25">
        <v>1.56</v>
      </c>
      <c r="L33" s="25"/>
      <c r="M33" s="25" t="s">
        <v>157</v>
      </c>
      <c r="N33" s="25" t="b">
        <f t="shared" si="7"/>
        <v>1</v>
      </c>
      <c r="O33" s="25" t="b">
        <f t="shared" si="8"/>
        <v>1</v>
      </c>
      <c r="P33" s="25" t="b">
        <f t="shared" si="9"/>
        <v>1</v>
      </c>
    </row>
    <row r="34" spans="1:16" ht="14.5" customHeight="1" x14ac:dyDescent="0.35">
      <c r="A34" s="21">
        <v>6</v>
      </c>
      <c r="B34" s="21">
        <v>1</v>
      </c>
      <c r="C34" s="25">
        <f t="shared" si="6"/>
        <v>6.083333333333333</v>
      </c>
      <c r="D34" s="21">
        <v>1.74</v>
      </c>
      <c r="E34" s="21">
        <v>0.3</v>
      </c>
      <c r="H34" s="25">
        <v>6</v>
      </c>
      <c r="I34" s="25">
        <v>6</v>
      </c>
      <c r="J34" s="25">
        <f t="shared" si="4"/>
        <v>6.5</v>
      </c>
      <c r="K34" s="25">
        <v>1.77</v>
      </c>
      <c r="L34" s="25">
        <v>0.4</v>
      </c>
      <c r="M34" s="25"/>
      <c r="N34" s="25" t="b">
        <f t="shared" si="7"/>
        <v>0</v>
      </c>
      <c r="O34" s="25" t="b">
        <f t="shared" si="8"/>
        <v>0</v>
      </c>
      <c r="P34" s="25" t="b">
        <f t="shared" si="9"/>
        <v>0</v>
      </c>
    </row>
    <row r="35" spans="1:16" ht="14.5" customHeight="1" x14ac:dyDescent="0.35">
      <c r="A35" s="21">
        <v>6</v>
      </c>
      <c r="B35" s="21">
        <v>7</v>
      </c>
      <c r="C35" s="25">
        <f t="shared" si="6"/>
        <v>6.583333333333333</v>
      </c>
      <c r="D35" s="21">
        <v>1.77</v>
      </c>
      <c r="E35" s="21">
        <v>0.4</v>
      </c>
      <c r="H35" s="25">
        <v>6</v>
      </c>
      <c r="I35" s="25">
        <v>1</v>
      </c>
      <c r="J35" s="25">
        <f t="shared" si="4"/>
        <v>6.083333333333333</v>
      </c>
      <c r="K35" s="25">
        <v>1.74</v>
      </c>
      <c r="L35" s="25">
        <v>0.3</v>
      </c>
      <c r="M35" s="25"/>
      <c r="N35" s="25" t="b">
        <f t="shared" si="7"/>
        <v>0</v>
      </c>
      <c r="O35" s="25" t="b">
        <f t="shared" si="8"/>
        <v>0</v>
      </c>
      <c r="P35" s="25" t="b">
        <f t="shared" si="9"/>
        <v>0</v>
      </c>
    </row>
    <row r="36" spans="1:16" ht="14.5" customHeight="1" x14ac:dyDescent="0.35">
      <c r="A36" s="21">
        <v>7</v>
      </c>
      <c r="B36" s="21">
        <v>5</v>
      </c>
      <c r="C36" s="25">
        <f t="shared" si="6"/>
        <v>7.416666666666667</v>
      </c>
      <c r="F36" s="21" t="s">
        <v>157</v>
      </c>
      <c r="H36" s="25">
        <v>7</v>
      </c>
      <c r="I36" s="25">
        <v>5</v>
      </c>
      <c r="J36" s="25">
        <f t="shared" si="4"/>
        <v>7.416666666666667</v>
      </c>
      <c r="K36" s="25"/>
      <c r="L36" s="25"/>
      <c r="M36" s="25" t="s">
        <v>157</v>
      </c>
      <c r="N36" s="25" t="b">
        <f t="shared" si="7"/>
        <v>1</v>
      </c>
      <c r="O36" s="25" t="b">
        <f t="shared" si="8"/>
        <v>1</v>
      </c>
      <c r="P36" s="25" t="b">
        <f t="shared" si="9"/>
        <v>1</v>
      </c>
    </row>
    <row r="37" spans="1:16" ht="14.5" customHeight="1" x14ac:dyDescent="0.35">
      <c r="A37" s="21">
        <v>7</v>
      </c>
      <c r="B37" s="21">
        <v>8</v>
      </c>
      <c r="C37" s="25">
        <f t="shared" si="6"/>
        <v>7.666666666666667</v>
      </c>
      <c r="D37" s="21">
        <v>2</v>
      </c>
      <c r="E37" s="21">
        <v>0.8</v>
      </c>
      <c r="H37" s="25">
        <v>7</v>
      </c>
      <c r="I37" s="25">
        <v>8</v>
      </c>
      <c r="J37" s="25">
        <f t="shared" si="4"/>
        <v>7.666666666666667</v>
      </c>
      <c r="K37" s="25">
        <v>2</v>
      </c>
      <c r="L37" s="25">
        <v>0.8</v>
      </c>
      <c r="M37" s="25"/>
      <c r="N37" s="25" t="b">
        <f t="shared" si="7"/>
        <v>1</v>
      </c>
      <c r="O37" s="25" t="b">
        <f t="shared" si="8"/>
        <v>1</v>
      </c>
      <c r="P37" s="25" t="b">
        <f t="shared" si="9"/>
        <v>1</v>
      </c>
    </row>
    <row r="38" spans="1:16" ht="14.5" customHeight="1" x14ac:dyDescent="0.35">
      <c r="A38" s="21">
        <v>9</v>
      </c>
      <c r="B38" s="21">
        <v>0</v>
      </c>
      <c r="C38" s="25">
        <f t="shared" si="6"/>
        <v>9</v>
      </c>
      <c r="D38" s="21">
        <v>2.4</v>
      </c>
      <c r="F38" s="21" t="s">
        <v>157</v>
      </c>
      <c r="H38" s="25">
        <v>9</v>
      </c>
      <c r="I38" s="25">
        <v>0</v>
      </c>
      <c r="J38" s="25">
        <f t="shared" si="4"/>
        <v>9</v>
      </c>
      <c r="K38" s="25">
        <v>2.4</v>
      </c>
      <c r="L38" s="25"/>
      <c r="M38" s="25" t="s">
        <v>157</v>
      </c>
      <c r="N38" s="25" t="b">
        <f t="shared" si="7"/>
        <v>1</v>
      </c>
      <c r="O38" s="25" t="b">
        <f t="shared" si="8"/>
        <v>1</v>
      </c>
      <c r="P38" s="25" t="b">
        <f t="shared" si="9"/>
        <v>1</v>
      </c>
    </row>
    <row r="39" spans="1:16" ht="14.5" customHeight="1" x14ac:dyDescent="0.35">
      <c r="A39" s="21">
        <v>10</v>
      </c>
      <c r="B39" s="21">
        <v>10</v>
      </c>
      <c r="C39" s="25">
        <f t="shared" si="6"/>
        <v>10.833333333333334</v>
      </c>
      <c r="D39" s="21">
        <v>2.85</v>
      </c>
      <c r="E39" s="21">
        <v>1.31</v>
      </c>
      <c r="H39" s="25">
        <v>10</v>
      </c>
      <c r="I39" s="25">
        <v>10</v>
      </c>
      <c r="J39" s="25">
        <f t="shared" si="4"/>
        <v>10.833333333333334</v>
      </c>
      <c r="K39" s="25">
        <v>2.85</v>
      </c>
      <c r="L39" s="25">
        <v>1.31</v>
      </c>
      <c r="M39" s="25"/>
      <c r="N39" s="25" t="b">
        <f t="shared" si="7"/>
        <v>1</v>
      </c>
      <c r="O39" s="25" t="b">
        <f t="shared" si="8"/>
        <v>1</v>
      </c>
      <c r="P39" s="25" t="b">
        <f t="shared" si="9"/>
        <v>1</v>
      </c>
    </row>
    <row r="40" spans="1:16" ht="14.5" customHeight="1" x14ac:dyDescent="0.35">
      <c r="A40" s="21">
        <v>11</v>
      </c>
      <c r="B40" s="21">
        <v>9</v>
      </c>
      <c r="C40" s="25">
        <f t="shared" si="6"/>
        <v>11.75</v>
      </c>
      <c r="D40" s="21">
        <v>3.06</v>
      </c>
      <c r="E40" s="21">
        <v>1.27</v>
      </c>
      <c r="H40" s="25">
        <v>11</v>
      </c>
      <c r="I40" s="25">
        <v>9</v>
      </c>
      <c r="J40" s="25">
        <f t="shared" si="4"/>
        <v>11.75</v>
      </c>
      <c r="K40" s="25">
        <v>3.06</v>
      </c>
      <c r="L40" s="25">
        <v>1.27</v>
      </c>
      <c r="M40" s="25"/>
      <c r="N40" s="25" t="b">
        <f t="shared" si="7"/>
        <v>1</v>
      </c>
      <c r="O40" s="25" t="b">
        <f t="shared" si="8"/>
        <v>1</v>
      </c>
      <c r="P40" s="25" t="b">
        <f t="shared" si="9"/>
        <v>1</v>
      </c>
    </row>
    <row r="41" spans="1:16" ht="14.5" customHeight="1" x14ac:dyDescent="0.35">
      <c r="A41" s="21">
        <v>12</v>
      </c>
      <c r="B41" s="21">
        <v>8</v>
      </c>
      <c r="C41" s="25">
        <f t="shared" si="6"/>
        <v>12.666666666666666</v>
      </c>
      <c r="D41" s="21">
        <v>3</v>
      </c>
      <c r="F41" s="21" t="s">
        <v>157</v>
      </c>
      <c r="H41" s="25">
        <v>12</v>
      </c>
      <c r="I41" s="25">
        <v>8</v>
      </c>
      <c r="J41" s="25">
        <f t="shared" si="4"/>
        <v>12.666666666666666</v>
      </c>
      <c r="K41" s="25">
        <v>3</v>
      </c>
      <c r="L41" s="25"/>
      <c r="M41" s="25" t="s">
        <v>157</v>
      </c>
      <c r="N41" s="25" t="b">
        <f t="shared" si="7"/>
        <v>1</v>
      </c>
      <c r="O41" s="25" t="b">
        <f t="shared" si="8"/>
        <v>1</v>
      </c>
      <c r="P41" s="25" t="b">
        <f t="shared" si="9"/>
        <v>1</v>
      </c>
    </row>
    <row r="42" spans="1:16" ht="14.5" customHeight="1" x14ac:dyDescent="0.35">
      <c r="A42" s="21">
        <v>13</v>
      </c>
      <c r="B42" s="21">
        <v>0</v>
      </c>
      <c r="C42" s="25">
        <f t="shared" si="6"/>
        <v>13</v>
      </c>
      <c r="D42" s="21">
        <v>2.86</v>
      </c>
      <c r="E42" s="21">
        <v>0.21</v>
      </c>
      <c r="H42" s="25">
        <v>13</v>
      </c>
      <c r="I42" s="25">
        <v>0</v>
      </c>
      <c r="J42" s="25">
        <f t="shared" si="4"/>
        <v>13</v>
      </c>
      <c r="K42" s="25">
        <v>2.86</v>
      </c>
      <c r="L42" s="25">
        <v>0.21</v>
      </c>
      <c r="M42" s="25"/>
      <c r="N42" s="25" t="b">
        <f t="shared" si="7"/>
        <v>1</v>
      </c>
      <c r="O42" s="25" t="b">
        <f t="shared" si="8"/>
        <v>1</v>
      </c>
      <c r="P42" s="25" t="b">
        <f t="shared" si="9"/>
        <v>1</v>
      </c>
    </row>
    <row r="43" spans="1:16" ht="14.5" customHeight="1" x14ac:dyDescent="0.35">
      <c r="A43" s="21">
        <v>13</v>
      </c>
      <c r="B43" s="21">
        <v>5</v>
      </c>
      <c r="C43" s="25">
        <f t="shared" si="6"/>
        <v>13.416666666666666</v>
      </c>
      <c r="D43" s="21">
        <v>2.9</v>
      </c>
      <c r="F43" s="21" t="s">
        <v>157</v>
      </c>
      <c r="H43" s="25">
        <v>13</v>
      </c>
      <c r="I43" s="25">
        <v>5</v>
      </c>
      <c r="J43" s="25">
        <f t="shared" si="4"/>
        <v>13.416666666666666</v>
      </c>
      <c r="K43" s="25">
        <v>2.9</v>
      </c>
      <c r="L43" s="25"/>
      <c r="M43" s="25" t="s">
        <v>157</v>
      </c>
      <c r="N43" s="25" t="b">
        <f t="shared" si="7"/>
        <v>1</v>
      </c>
      <c r="O43" s="25" t="b">
        <f t="shared" si="8"/>
        <v>1</v>
      </c>
      <c r="P43" s="25" t="b">
        <f t="shared" si="9"/>
        <v>1</v>
      </c>
    </row>
    <row r="44" spans="1:16" ht="14.5" customHeight="1" x14ac:dyDescent="0.35">
      <c r="A44" s="21">
        <v>14</v>
      </c>
      <c r="B44" s="21">
        <v>0</v>
      </c>
      <c r="C44" s="25">
        <f t="shared" si="6"/>
        <v>14</v>
      </c>
      <c r="D44" s="21">
        <v>0.6</v>
      </c>
      <c r="E44" s="21">
        <v>-0.02</v>
      </c>
      <c r="H44" s="25">
        <v>14</v>
      </c>
      <c r="I44" s="25">
        <v>0</v>
      </c>
      <c r="J44" s="25">
        <f t="shared" si="4"/>
        <v>14</v>
      </c>
      <c r="K44" s="25">
        <v>0.6</v>
      </c>
      <c r="L44" s="25">
        <v>-0.02</v>
      </c>
      <c r="M44" s="25"/>
      <c r="N44" s="25" t="b">
        <f t="shared" si="7"/>
        <v>1</v>
      </c>
      <c r="O44" s="25" t="b">
        <f t="shared" si="8"/>
        <v>1</v>
      </c>
      <c r="P44" s="25" t="b">
        <f t="shared" si="9"/>
        <v>1</v>
      </c>
    </row>
    <row r="45" spans="1:16" s="25" customFormat="1" ht="14.5" customHeight="1" x14ac:dyDescent="0.35">
      <c r="A45" s="25">
        <v>15</v>
      </c>
      <c r="B45" s="25">
        <v>0</v>
      </c>
      <c r="C45" s="25">
        <f t="shared" si="6"/>
        <v>15</v>
      </c>
      <c r="D45" s="25">
        <v>0.6</v>
      </c>
      <c r="F45" s="25" t="s">
        <v>157</v>
      </c>
      <c r="H45" s="25">
        <v>15</v>
      </c>
      <c r="I45" s="25">
        <v>0</v>
      </c>
      <c r="J45" s="25">
        <f t="shared" si="4"/>
        <v>15</v>
      </c>
      <c r="K45" s="25">
        <v>0.6</v>
      </c>
      <c r="M45" s="25" t="s">
        <v>157</v>
      </c>
      <c r="N45" s="25" t="b">
        <f t="shared" si="7"/>
        <v>1</v>
      </c>
      <c r="O45" s="25" t="b">
        <f t="shared" si="8"/>
        <v>1</v>
      </c>
      <c r="P45" s="25" t="b">
        <f t="shared" si="9"/>
        <v>1</v>
      </c>
    </row>
    <row r="46" spans="1:16" ht="14.5" customHeight="1" x14ac:dyDescent="0.35">
      <c r="A46" s="21">
        <v>17</v>
      </c>
      <c r="B46" s="21">
        <v>0</v>
      </c>
      <c r="C46" s="25">
        <f t="shared" si="6"/>
        <v>17</v>
      </c>
      <c r="D46" s="21">
        <v>1.07</v>
      </c>
      <c r="E46" s="21">
        <v>-0.08</v>
      </c>
      <c r="H46" s="25">
        <v>17</v>
      </c>
      <c r="I46" s="25">
        <v>0</v>
      </c>
      <c r="J46" s="25">
        <f t="shared" si="4"/>
        <v>17</v>
      </c>
      <c r="K46" s="25">
        <v>1.07</v>
      </c>
      <c r="L46" s="25">
        <v>-0.08</v>
      </c>
      <c r="M46" s="25"/>
      <c r="N46" s="25" t="b">
        <f t="shared" si="7"/>
        <v>1</v>
      </c>
      <c r="O46" s="25" t="b">
        <f t="shared" si="8"/>
        <v>1</v>
      </c>
      <c r="P46" s="25" t="b">
        <f t="shared" si="9"/>
        <v>1</v>
      </c>
    </row>
    <row r="47" spans="1:16" ht="14.5" customHeight="1" x14ac:dyDescent="0.35">
      <c r="A47" s="21">
        <v>17</v>
      </c>
      <c r="B47" s="21">
        <v>10</v>
      </c>
      <c r="C47" s="25">
        <f t="shared" si="6"/>
        <v>17.833333333333332</v>
      </c>
      <c r="D47" s="21">
        <v>0.35</v>
      </c>
      <c r="F47" s="21" t="s">
        <v>123</v>
      </c>
      <c r="H47" s="25">
        <v>17</v>
      </c>
      <c r="I47" s="25">
        <v>10</v>
      </c>
      <c r="J47" s="25">
        <f t="shared" si="4"/>
        <v>17.833333333333332</v>
      </c>
      <c r="K47" s="25">
        <v>0.35</v>
      </c>
      <c r="L47" s="25"/>
      <c r="M47" s="25" t="s">
        <v>123</v>
      </c>
      <c r="N47" s="25" t="b">
        <f t="shared" si="7"/>
        <v>1</v>
      </c>
      <c r="O47" s="25" t="b">
        <f t="shared" si="8"/>
        <v>1</v>
      </c>
      <c r="P47" s="25" t="b">
        <f t="shared" si="9"/>
        <v>1</v>
      </c>
    </row>
    <row r="48" spans="1:16" ht="14.5" customHeight="1" x14ac:dyDescent="0.35">
      <c r="A48" s="21">
        <v>18</v>
      </c>
      <c r="B48" s="21">
        <v>8</v>
      </c>
      <c r="C48" s="25">
        <f t="shared" si="6"/>
        <v>18.666666666666668</v>
      </c>
      <c r="D48" s="21">
        <v>0</v>
      </c>
      <c r="E48" s="21">
        <v>0</v>
      </c>
      <c r="F48" s="21" t="s">
        <v>158</v>
      </c>
      <c r="H48" s="25">
        <v>18</v>
      </c>
      <c r="I48" s="25">
        <v>8</v>
      </c>
      <c r="J48" s="25">
        <f t="shared" si="4"/>
        <v>18.666666666666668</v>
      </c>
      <c r="K48" s="25"/>
      <c r="L48" s="25">
        <v>0</v>
      </c>
      <c r="M48" s="25" t="s">
        <v>158</v>
      </c>
      <c r="N48" s="25" t="b">
        <f t="shared" si="7"/>
        <v>1</v>
      </c>
      <c r="O48" s="25" t="b">
        <f t="shared" si="8"/>
        <v>1</v>
      </c>
      <c r="P48" s="25" t="b">
        <f t="shared" si="9"/>
        <v>1</v>
      </c>
    </row>
    <row r="51" spans="1:6" ht="14.5" customHeight="1" x14ac:dyDescent="0.35">
      <c r="A51" s="25" t="s">
        <v>144</v>
      </c>
      <c r="B51" s="12"/>
      <c r="C51" s="17" t="s">
        <v>13</v>
      </c>
      <c r="D51" s="17" t="s">
        <v>29</v>
      </c>
      <c r="E51" s="12" t="s">
        <v>7</v>
      </c>
      <c r="F51" s="12" t="s">
        <v>3</v>
      </c>
    </row>
    <row r="52" spans="1:6" ht="14.5" customHeight="1" x14ac:dyDescent="0.35">
      <c r="A52" s="25">
        <v>2</v>
      </c>
      <c r="B52" s="25">
        <v>11</v>
      </c>
      <c r="C52" s="25">
        <f>A52+(B52/12)</f>
        <v>2.9166666666666665</v>
      </c>
      <c r="D52" s="25">
        <v>1.3</v>
      </c>
      <c r="E52" s="25"/>
      <c r="F52" s="25" t="s">
        <v>30</v>
      </c>
    </row>
    <row r="53" spans="1:6" ht="14.5" customHeight="1" x14ac:dyDescent="0.35">
      <c r="A53" s="25">
        <v>3</v>
      </c>
      <c r="B53" s="25">
        <v>7</v>
      </c>
      <c r="C53" s="25">
        <f t="shared" ref="C53:C71" si="10">A53+(B53/12)</f>
        <v>3.5833333333333335</v>
      </c>
      <c r="D53" s="25">
        <v>1.4</v>
      </c>
      <c r="E53" s="25">
        <v>-0.7</v>
      </c>
      <c r="F53" s="25"/>
    </row>
    <row r="54" spans="1:6" ht="14.5" customHeight="1" x14ac:dyDescent="0.35">
      <c r="A54" s="25">
        <v>3</v>
      </c>
      <c r="B54" s="25">
        <v>9</v>
      </c>
      <c r="C54" s="25">
        <f t="shared" si="10"/>
        <v>3.75</v>
      </c>
      <c r="D54" s="25">
        <v>1.06</v>
      </c>
      <c r="E54" s="25">
        <v>-0.12</v>
      </c>
      <c r="F54" s="25"/>
    </row>
    <row r="55" spans="1:6" ht="14.5" customHeight="1" x14ac:dyDescent="0.35">
      <c r="A55" s="25">
        <v>3</v>
      </c>
      <c r="B55" s="25">
        <v>11</v>
      </c>
      <c r="C55" s="25">
        <f t="shared" si="10"/>
        <v>3.9166666666666665</v>
      </c>
      <c r="D55" s="25">
        <v>1.31</v>
      </c>
      <c r="E55" s="25">
        <v>0.11</v>
      </c>
      <c r="F55" s="25"/>
    </row>
    <row r="56" spans="1:6" ht="14.5" customHeight="1" x14ac:dyDescent="0.35">
      <c r="A56" s="25">
        <v>5</v>
      </c>
      <c r="B56" s="25">
        <v>5</v>
      </c>
      <c r="C56" s="25">
        <f t="shared" si="10"/>
        <v>5.416666666666667</v>
      </c>
      <c r="D56" s="25">
        <v>1.56</v>
      </c>
      <c r="E56" s="25"/>
      <c r="F56" s="25" t="s">
        <v>157</v>
      </c>
    </row>
    <row r="57" spans="1:6" ht="14.5" customHeight="1" x14ac:dyDescent="0.35">
      <c r="A57" s="25">
        <v>6</v>
      </c>
      <c r="B57" s="25">
        <v>1</v>
      </c>
      <c r="C57" s="25">
        <f t="shared" si="10"/>
        <v>6.083333333333333</v>
      </c>
      <c r="D57" s="25">
        <v>1.74</v>
      </c>
      <c r="E57" s="25">
        <v>0.3</v>
      </c>
      <c r="F57" s="25"/>
    </row>
    <row r="58" spans="1:6" ht="14.5" customHeight="1" x14ac:dyDescent="0.35">
      <c r="A58" s="25">
        <v>6</v>
      </c>
      <c r="B58" s="25">
        <v>7</v>
      </c>
      <c r="C58" s="25">
        <f t="shared" si="10"/>
        <v>6.583333333333333</v>
      </c>
      <c r="D58" s="25">
        <v>1.77</v>
      </c>
      <c r="E58" s="25">
        <v>0.4</v>
      </c>
      <c r="F58" s="25"/>
    </row>
    <row r="59" spans="1:6" ht="14.5" customHeight="1" x14ac:dyDescent="0.35">
      <c r="A59" s="25">
        <v>7</v>
      </c>
      <c r="B59" s="25">
        <v>5</v>
      </c>
      <c r="C59" s="25">
        <f t="shared" si="10"/>
        <v>7.416666666666667</v>
      </c>
      <c r="D59" s="25"/>
      <c r="E59" s="25"/>
      <c r="F59" s="25" t="s">
        <v>157</v>
      </c>
    </row>
    <row r="60" spans="1:6" ht="14.5" customHeight="1" x14ac:dyDescent="0.35">
      <c r="A60" s="25">
        <v>7</v>
      </c>
      <c r="B60" s="25">
        <v>8</v>
      </c>
      <c r="C60" s="25">
        <f t="shared" si="10"/>
        <v>7.666666666666667</v>
      </c>
      <c r="D60" s="25">
        <v>2</v>
      </c>
      <c r="E60" s="25">
        <v>0.8</v>
      </c>
      <c r="F60" s="25"/>
    </row>
    <row r="61" spans="1:6" ht="14.5" customHeight="1" x14ac:dyDescent="0.35">
      <c r="A61" s="25">
        <v>9</v>
      </c>
      <c r="B61" s="25">
        <v>0</v>
      </c>
      <c r="C61" s="25">
        <f t="shared" si="10"/>
        <v>9</v>
      </c>
      <c r="D61" s="25">
        <v>2.4</v>
      </c>
      <c r="E61" s="25"/>
      <c r="F61" s="25" t="s">
        <v>157</v>
      </c>
    </row>
    <row r="62" spans="1:6" ht="14.5" customHeight="1" x14ac:dyDescent="0.35">
      <c r="A62" s="25">
        <v>10</v>
      </c>
      <c r="B62" s="25">
        <v>10</v>
      </c>
      <c r="C62" s="25">
        <f t="shared" si="10"/>
        <v>10.833333333333334</v>
      </c>
      <c r="D62" s="25">
        <v>2.85</v>
      </c>
      <c r="E62" s="25">
        <v>1.31</v>
      </c>
      <c r="F62" s="25"/>
    </row>
    <row r="63" spans="1:6" ht="14.5" customHeight="1" x14ac:dyDescent="0.35">
      <c r="A63" s="25">
        <v>11</v>
      </c>
      <c r="B63" s="25">
        <v>9</v>
      </c>
      <c r="C63" s="25">
        <f t="shared" si="10"/>
        <v>11.75</v>
      </c>
      <c r="D63" s="25">
        <v>3.06</v>
      </c>
      <c r="E63" s="25">
        <v>1.27</v>
      </c>
      <c r="F63" s="25"/>
    </row>
    <row r="64" spans="1:6" ht="14.5" customHeight="1" x14ac:dyDescent="0.35">
      <c r="A64" s="25">
        <v>12</v>
      </c>
      <c r="B64" s="25">
        <v>8</v>
      </c>
      <c r="C64" s="25">
        <f t="shared" si="10"/>
        <v>12.666666666666666</v>
      </c>
      <c r="D64" s="25">
        <v>3</v>
      </c>
      <c r="E64" s="25"/>
      <c r="F64" s="25" t="s">
        <v>157</v>
      </c>
    </row>
    <row r="65" spans="1:6" ht="14.5" customHeight="1" x14ac:dyDescent="0.35">
      <c r="A65" s="25">
        <v>13</v>
      </c>
      <c r="B65" s="25">
        <v>0</v>
      </c>
      <c r="C65" s="25">
        <f t="shared" si="10"/>
        <v>13</v>
      </c>
      <c r="D65" s="25">
        <v>2.86</v>
      </c>
      <c r="E65" s="25">
        <v>0.21</v>
      </c>
      <c r="F65" s="25"/>
    </row>
    <row r="66" spans="1:6" ht="14.5" customHeight="1" x14ac:dyDescent="0.35">
      <c r="A66" s="25">
        <v>13</v>
      </c>
      <c r="B66" s="25">
        <v>5</v>
      </c>
      <c r="C66" s="25">
        <f t="shared" si="10"/>
        <v>13.416666666666666</v>
      </c>
      <c r="D66" s="25">
        <v>2.9</v>
      </c>
      <c r="E66" s="25"/>
      <c r="F66" s="25" t="s">
        <v>157</v>
      </c>
    </row>
    <row r="67" spans="1:6" ht="14.5" customHeight="1" x14ac:dyDescent="0.35">
      <c r="A67" s="25">
        <v>14</v>
      </c>
      <c r="B67" s="25">
        <v>0</v>
      </c>
      <c r="C67" s="25">
        <f t="shared" si="10"/>
        <v>14</v>
      </c>
      <c r="D67" s="25">
        <v>0.6</v>
      </c>
      <c r="E67" s="25">
        <v>-0.02</v>
      </c>
      <c r="F67" s="25"/>
    </row>
    <row r="68" spans="1:6" ht="14.5" customHeight="1" x14ac:dyDescent="0.35">
      <c r="A68" s="25">
        <v>15</v>
      </c>
      <c r="B68" s="25">
        <v>0</v>
      </c>
      <c r="C68" s="25">
        <f t="shared" si="10"/>
        <v>15</v>
      </c>
      <c r="D68" s="25">
        <v>0.6</v>
      </c>
      <c r="E68" s="25"/>
      <c r="F68" s="25" t="s">
        <v>157</v>
      </c>
    </row>
    <row r="69" spans="1:6" ht="14.5" customHeight="1" x14ac:dyDescent="0.35">
      <c r="A69" s="25">
        <v>17</v>
      </c>
      <c r="B69" s="25">
        <v>0</v>
      </c>
      <c r="C69" s="25">
        <f t="shared" si="10"/>
        <v>17</v>
      </c>
      <c r="D69" s="25">
        <v>1.07</v>
      </c>
      <c r="E69" s="25">
        <v>-0.08</v>
      </c>
      <c r="F69" s="25"/>
    </row>
    <row r="70" spans="1:6" ht="14.5" customHeight="1" x14ac:dyDescent="0.35">
      <c r="A70" s="25">
        <v>17</v>
      </c>
      <c r="B70" s="25">
        <v>10</v>
      </c>
      <c r="C70" s="25">
        <f t="shared" si="10"/>
        <v>17.833333333333332</v>
      </c>
      <c r="D70" s="25">
        <v>0.35</v>
      </c>
      <c r="E70" s="25"/>
      <c r="F70" s="25" t="s">
        <v>123</v>
      </c>
    </row>
    <row r="71" spans="1:6" ht="14.5" customHeight="1" x14ac:dyDescent="0.35">
      <c r="A71" s="25">
        <v>18</v>
      </c>
      <c r="B71" s="25">
        <v>8</v>
      </c>
      <c r="C71" s="25">
        <f t="shared" si="10"/>
        <v>18.666666666666668</v>
      </c>
      <c r="D71" s="25">
        <v>0</v>
      </c>
      <c r="E71" s="25">
        <v>0</v>
      </c>
      <c r="F71" s="25" t="s">
        <v>158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4"/>
  <sheetViews>
    <sheetView workbookViewId="0">
      <selection sqref="A1:XFD16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4</v>
      </c>
      <c r="F1" s="21" t="s">
        <v>24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3</v>
      </c>
      <c r="B3" s="21">
        <v>0</v>
      </c>
      <c r="C3" s="21">
        <f t="shared" ref="C3:C16" si="0">A3+(B3/12)</f>
        <v>3</v>
      </c>
      <c r="D3" s="21">
        <v>1.63</v>
      </c>
      <c r="E3" s="21">
        <v>0</v>
      </c>
    </row>
    <row r="4" spans="1:6" ht="14.5" customHeight="1" x14ac:dyDescent="0.35">
      <c r="A4" s="21">
        <v>3</v>
      </c>
      <c r="B4" s="21">
        <v>9</v>
      </c>
      <c r="C4" s="21">
        <f t="shared" si="0"/>
        <v>3.75</v>
      </c>
      <c r="D4" s="21">
        <v>1.63</v>
      </c>
      <c r="E4" s="21">
        <v>-0.23</v>
      </c>
    </row>
    <row r="5" spans="1:6" ht="14.5" customHeight="1" x14ac:dyDescent="0.35">
      <c r="A5" s="21">
        <v>5</v>
      </c>
      <c r="B5" s="21">
        <v>1</v>
      </c>
      <c r="C5" s="21">
        <f t="shared" si="0"/>
        <v>5.083333333333333</v>
      </c>
      <c r="D5" s="21">
        <v>1.5</v>
      </c>
      <c r="E5" s="21">
        <v>-0.15</v>
      </c>
    </row>
    <row r="6" spans="1:6" ht="14.5" customHeight="1" x14ac:dyDescent="0.35">
      <c r="A6" s="21">
        <v>6</v>
      </c>
      <c r="B6" s="21">
        <v>7</v>
      </c>
      <c r="C6" s="21">
        <f t="shared" si="0"/>
        <v>6.583333333333333</v>
      </c>
      <c r="D6" s="21">
        <v>1.63</v>
      </c>
      <c r="E6" s="21">
        <v>0.3</v>
      </c>
    </row>
    <row r="7" spans="1:6" ht="14.5" customHeight="1" x14ac:dyDescent="0.35">
      <c r="A7" s="21">
        <v>9</v>
      </c>
      <c r="B7" s="21">
        <v>2</v>
      </c>
      <c r="C7" s="21">
        <f t="shared" si="0"/>
        <v>9.1666666666666661</v>
      </c>
      <c r="D7" s="21">
        <v>2.8</v>
      </c>
      <c r="E7" s="21">
        <v>1.61</v>
      </c>
    </row>
    <row r="8" spans="1:6" ht="14.5" customHeight="1" x14ac:dyDescent="0.35">
      <c r="A8" s="21">
        <v>10</v>
      </c>
      <c r="B8" s="21">
        <v>3</v>
      </c>
      <c r="C8" s="21">
        <f t="shared" si="0"/>
        <v>10.25</v>
      </c>
      <c r="F8" s="21" t="s">
        <v>37</v>
      </c>
    </row>
    <row r="9" spans="1:6" ht="14.5" customHeight="1" x14ac:dyDescent="0.35">
      <c r="A9" s="21">
        <v>10</v>
      </c>
      <c r="B9" s="21">
        <v>10</v>
      </c>
      <c r="C9" s="21">
        <f t="shared" ref="C9" si="1">A9+(B9/12)</f>
        <v>10.833333333333334</v>
      </c>
      <c r="D9" s="21">
        <v>3.2</v>
      </c>
      <c r="E9" s="21">
        <v>2.56</v>
      </c>
    </row>
    <row r="10" spans="1:6" ht="14.5" customHeight="1" x14ac:dyDescent="0.35">
      <c r="A10" s="21">
        <v>11</v>
      </c>
      <c r="B10" s="21">
        <v>5</v>
      </c>
      <c r="C10" s="21">
        <f t="shared" si="0"/>
        <v>11.416666666666666</v>
      </c>
      <c r="F10" s="21" t="s">
        <v>20</v>
      </c>
    </row>
    <row r="11" spans="1:6" ht="14.5" customHeight="1" x14ac:dyDescent="0.35">
      <c r="A11" s="21">
        <v>11</v>
      </c>
      <c r="B11" s="21">
        <v>9</v>
      </c>
      <c r="C11" s="21">
        <f t="shared" si="0"/>
        <v>11.75</v>
      </c>
      <c r="D11" s="21">
        <v>3.3</v>
      </c>
      <c r="E11" s="21">
        <v>2.4</v>
      </c>
    </row>
    <row r="12" spans="1:6" ht="14.5" customHeight="1" x14ac:dyDescent="0.35">
      <c r="A12" s="21">
        <v>13</v>
      </c>
      <c r="B12" s="21">
        <v>2</v>
      </c>
      <c r="C12" s="21">
        <f t="shared" si="0"/>
        <v>13.166666666666666</v>
      </c>
      <c r="F12" s="21" t="s">
        <v>20</v>
      </c>
    </row>
    <row r="13" spans="1:6" ht="14.5" customHeight="1" x14ac:dyDescent="0.35">
      <c r="A13" s="21">
        <v>13</v>
      </c>
      <c r="B13" s="21">
        <v>9</v>
      </c>
      <c r="C13" s="21">
        <f t="shared" si="0"/>
        <v>13.75</v>
      </c>
      <c r="D13" s="21">
        <v>1</v>
      </c>
      <c r="E13" s="21">
        <v>-0.08</v>
      </c>
    </row>
    <row r="14" spans="1:6" ht="14.5" customHeight="1" x14ac:dyDescent="0.35">
      <c r="A14" s="21">
        <v>15</v>
      </c>
      <c r="B14" s="21">
        <v>10</v>
      </c>
      <c r="C14" s="21">
        <f t="shared" si="0"/>
        <v>15.833333333333334</v>
      </c>
      <c r="D14" s="21">
        <v>1.1000000000000001</v>
      </c>
      <c r="E14" s="21">
        <v>-0.28000000000000003</v>
      </c>
    </row>
    <row r="15" spans="1:6" ht="14.5" customHeight="1" x14ac:dyDescent="0.35">
      <c r="A15" s="21">
        <v>16</v>
      </c>
      <c r="B15" s="21">
        <v>8</v>
      </c>
      <c r="C15" s="21">
        <f t="shared" si="0"/>
        <v>16.666666666666668</v>
      </c>
      <c r="D15" s="21">
        <v>1.2</v>
      </c>
      <c r="E15" s="21">
        <v>-0.45</v>
      </c>
    </row>
    <row r="16" spans="1:6" ht="14.5" customHeight="1" x14ac:dyDescent="0.35">
      <c r="A16" s="21">
        <v>18</v>
      </c>
      <c r="B16" s="21">
        <v>10</v>
      </c>
      <c r="C16" s="21">
        <f t="shared" si="0"/>
        <v>18.833333333333332</v>
      </c>
      <c r="F16" s="21" t="s">
        <v>36</v>
      </c>
    </row>
    <row r="25" spans="6:6" ht="14.5" customHeight="1" x14ac:dyDescent="0.35">
      <c r="F25" s="21" t="s">
        <v>20</v>
      </c>
    </row>
    <row r="34" spans="1:1" ht="14.5" customHeight="1" x14ac:dyDescent="0.35">
      <c r="A34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ACA6-F9DA-4C5F-A758-65426940BD4A}">
  <dimension ref="B3:AB113"/>
  <sheetViews>
    <sheetView topLeftCell="F61" workbookViewId="0">
      <selection activeCell="Y102" sqref="Y102"/>
    </sheetView>
  </sheetViews>
  <sheetFormatPr defaultRowHeight="14.5" x14ac:dyDescent="0.35"/>
  <sheetData>
    <row r="3" spans="2:14" x14ac:dyDescent="0.35">
      <c r="B3" t="s">
        <v>106</v>
      </c>
      <c r="D3" t="s">
        <v>13</v>
      </c>
      <c r="E3" t="s">
        <v>29</v>
      </c>
      <c r="F3" t="s">
        <v>7</v>
      </c>
      <c r="G3" t="s">
        <v>3</v>
      </c>
      <c r="I3" t="s">
        <v>96</v>
      </c>
      <c r="J3" t="s">
        <v>6</v>
      </c>
      <c r="K3" t="s">
        <v>94</v>
      </c>
      <c r="L3" t="s">
        <v>7</v>
      </c>
      <c r="M3" t="s">
        <v>95</v>
      </c>
      <c r="N3" t="s">
        <v>127</v>
      </c>
    </row>
    <row r="4" spans="2:14" x14ac:dyDescent="0.35">
      <c r="B4">
        <v>4</v>
      </c>
      <c r="C4">
        <v>8</v>
      </c>
      <c r="D4">
        <v>4.666666666666667</v>
      </c>
      <c r="G4" t="s">
        <v>12</v>
      </c>
      <c r="I4">
        <v>4.666666666666667</v>
      </c>
      <c r="J4">
        <v>0</v>
      </c>
      <c r="L4">
        <v>0</v>
      </c>
      <c r="M4">
        <v>0</v>
      </c>
    </row>
    <row r="5" spans="2:14" x14ac:dyDescent="0.35">
      <c r="B5">
        <v>5</v>
      </c>
      <c r="C5">
        <v>2</v>
      </c>
      <c r="D5">
        <v>5.166666666666667</v>
      </c>
      <c r="E5">
        <v>0.2</v>
      </c>
      <c r="G5" t="s">
        <v>11</v>
      </c>
      <c r="I5">
        <v>5.166666666666667</v>
      </c>
      <c r="J5">
        <v>0.2</v>
      </c>
      <c r="K5">
        <v>9.1666666666666619E-2</v>
      </c>
      <c r="L5">
        <v>0</v>
      </c>
      <c r="M5">
        <v>0</v>
      </c>
    </row>
    <row r="6" spans="2:14" x14ac:dyDescent="0.35">
      <c r="B6">
        <v>5</v>
      </c>
      <c r="C6">
        <v>7</v>
      </c>
      <c r="D6">
        <v>5.583333333333333</v>
      </c>
      <c r="E6">
        <v>0.7</v>
      </c>
      <c r="G6" t="s">
        <v>30</v>
      </c>
      <c r="I6">
        <v>5.583333333333333</v>
      </c>
      <c r="J6">
        <v>0.7</v>
      </c>
      <c r="K6">
        <v>0.32083333333333308</v>
      </c>
      <c r="L6">
        <v>0</v>
      </c>
      <c r="M6">
        <v>0</v>
      </c>
    </row>
    <row r="7" spans="2:14" x14ac:dyDescent="0.35">
      <c r="B7">
        <v>6</v>
      </c>
      <c r="C7">
        <v>1</v>
      </c>
      <c r="D7">
        <v>6.083333333333333</v>
      </c>
      <c r="E7">
        <v>0.7</v>
      </c>
      <c r="F7">
        <v>0.85</v>
      </c>
      <c r="I7">
        <v>6.083333333333333</v>
      </c>
      <c r="J7">
        <v>0.7</v>
      </c>
      <c r="K7">
        <v>0.64166666666666683</v>
      </c>
      <c r="L7">
        <v>0.85</v>
      </c>
      <c r="M7">
        <v>0.54541666666666677</v>
      </c>
    </row>
    <row r="8" spans="2:14" x14ac:dyDescent="0.35">
      <c r="B8">
        <v>6</v>
      </c>
      <c r="C8">
        <v>9</v>
      </c>
      <c r="D8">
        <v>6.75</v>
      </c>
      <c r="E8">
        <v>0.76</v>
      </c>
      <c r="G8" t="s">
        <v>20</v>
      </c>
      <c r="I8">
        <v>6.75</v>
      </c>
      <c r="J8">
        <v>0.76</v>
      </c>
      <c r="L8">
        <v>0</v>
      </c>
      <c r="M8">
        <v>0</v>
      </c>
      <c r="N8">
        <v>1.166666666666667</v>
      </c>
    </row>
    <row r="9" spans="2:14" x14ac:dyDescent="0.35">
      <c r="B9">
        <v>8</v>
      </c>
      <c r="C9">
        <v>5</v>
      </c>
      <c r="D9">
        <v>8.4166666666666661</v>
      </c>
      <c r="E9">
        <v>1.1000000000000001</v>
      </c>
      <c r="F9">
        <v>1.97</v>
      </c>
      <c r="I9">
        <v>8.4166666666666661</v>
      </c>
      <c r="J9">
        <v>1.1000000000000001</v>
      </c>
      <c r="K9">
        <v>2.6333333333333337</v>
      </c>
      <c r="L9">
        <v>1.97</v>
      </c>
      <c r="M9">
        <v>5.1876666666666678</v>
      </c>
    </row>
    <row r="10" spans="2:14" x14ac:dyDescent="0.35">
      <c r="B10">
        <v>9</v>
      </c>
      <c r="C10">
        <v>6</v>
      </c>
      <c r="D10">
        <v>9.5</v>
      </c>
      <c r="E10">
        <v>0.9</v>
      </c>
      <c r="G10" t="s">
        <v>20</v>
      </c>
      <c r="I10">
        <v>9.5</v>
      </c>
      <c r="J10">
        <v>0.9</v>
      </c>
      <c r="L10">
        <v>0</v>
      </c>
      <c r="M10">
        <v>0</v>
      </c>
      <c r="N10">
        <v>2.75</v>
      </c>
    </row>
    <row r="11" spans="2:14" x14ac:dyDescent="0.35">
      <c r="B11">
        <v>11</v>
      </c>
      <c r="C11">
        <v>2</v>
      </c>
      <c r="D11">
        <v>11.166666666666666</v>
      </c>
      <c r="E11">
        <v>0.14000000000000001</v>
      </c>
      <c r="F11">
        <v>0.69</v>
      </c>
      <c r="I11">
        <v>11.166666666666666</v>
      </c>
      <c r="J11">
        <v>0.14000000000000001</v>
      </c>
      <c r="K11">
        <v>0.48333333333333328</v>
      </c>
      <c r="L11">
        <v>0.69</v>
      </c>
      <c r="M11">
        <v>0.33349999999999996</v>
      </c>
    </row>
    <row r="12" spans="2:14" x14ac:dyDescent="0.35">
      <c r="B12">
        <v>12</v>
      </c>
      <c r="C12">
        <v>2</v>
      </c>
      <c r="D12">
        <v>12.166666666666666</v>
      </c>
      <c r="E12">
        <v>0.36</v>
      </c>
      <c r="G12" t="s">
        <v>32</v>
      </c>
      <c r="I12">
        <v>12.166666666666666</v>
      </c>
      <c r="J12">
        <v>0.36</v>
      </c>
      <c r="L12">
        <v>0</v>
      </c>
      <c r="M12">
        <v>0</v>
      </c>
      <c r="N12">
        <v>2.6666666666666661</v>
      </c>
    </row>
    <row r="13" spans="2:14" x14ac:dyDescent="0.35">
      <c r="B13">
        <v>12</v>
      </c>
      <c r="C13">
        <v>3</v>
      </c>
      <c r="D13">
        <v>12.25</v>
      </c>
      <c r="E13">
        <v>0.9</v>
      </c>
      <c r="G13" t="s">
        <v>31</v>
      </c>
      <c r="I13">
        <v>12.25</v>
      </c>
      <c r="J13">
        <v>0.9</v>
      </c>
      <c r="L13">
        <v>0</v>
      </c>
      <c r="M13">
        <v>0</v>
      </c>
    </row>
    <row r="14" spans="2:14" x14ac:dyDescent="0.35">
      <c r="B14">
        <v>13</v>
      </c>
      <c r="C14">
        <v>1</v>
      </c>
      <c r="D14">
        <v>13.083333333333334</v>
      </c>
      <c r="E14">
        <v>1.07</v>
      </c>
      <c r="F14">
        <v>1.34</v>
      </c>
      <c r="I14">
        <v>13.083333333333334</v>
      </c>
      <c r="J14">
        <v>1.07</v>
      </c>
      <c r="K14">
        <v>1.6983333333333339</v>
      </c>
      <c r="L14">
        <v>1.34</v>
      </c>
      <c r="M14">
        <v>2.2757666666666676</v>
      </c>
    </row>
    <row r="15" spans="2:14" x14ac:dyDescent="0.35">
      <c r="B15">
        <v>13</v>
      </c>
      <c r="C15">
        <v>10</v>
      </c>
      <c r="D15">
        <v>13.833333333333334</v>
      </c>
      <c r="E15">
        <v>1.27</v>
      </c>
      <c r="G15" t="s">
        <v>20</v>
      </c>
      <c r="I15">
        <v>13.833333333333334</v>
      </c>
      <c r="J15">
        <v>1.27</v>
      </c>
      <c r="L15">
        <v>0</v>
      </c>
      <c r="M15">
        <v>0</v>
      </c>
      <c r="N15">
        <v>1.5833333333333339</v>
      </c>
    </row>
    <row r="16" spans="2:14" x14ac:dyDescent="0.35">
      <c r="B16">
        <v>18</v>
      </c>
      <c r="C16">
        <v>9</v>
      </c>
      <c r="D16">
        <v>18.75</v>
      </c>
      <c r="E16">
        <v>0</v>
      </c>
      <c r="G16" t="s">
        <v>33</v>
      </c>
      <c r="I16">
        <v>18.75</v>
      </c>
      <c r="J16">
        <v>0</v>
      </c>
      <c r="L16">
        <v>0</v>
      </c>
      <c r="M16">
        <v>0</v>
      </c>
    </row>
    <row r="17" spans="2:14" x14ac:dyDescent="0.35">
      <c r="B17">
        <v>20</v>
      </c>
      <c r="C17">
        <v>3</v>
      </c>
      <c r="D17">
        <v>20.25</v>
      </c>
      <c r="E17">
        <v>0.2</v>
      </c>
      <c r="F17">
        <v>0</v>
      </c>
      <c r="G17" t="s">
        <v>34</v>
      </c>
      <c r="I17">
        <v>20.25</v>
      </c>
      <c r="J17">
        <v>0.2</v>
      </c>
      <c r="K17">
        <v>0.15000000000000002</v>
      </c>
      <c r="L17">
        <v>0</v>
      </c>
      <c r="M17">
        <v>0</v>
      </c>
    </row>
    <row r="18" spans="2:14" x14ac:dyDescent="0.35">
      <c r="B18">
        <v>20</v>
      </c>
      <c r="C18">
        <v>5</v>
      </c>
      <c r="D18">
        <v>20.416666666666668</v>
      </c>
      <c r="E18">
        <v>0.5</v>
      </c>
      <c r="G18" t="s">
        <v>33</v>
      </c>
      <c r="I18">
        <v>20.416666666666668</v>
      </c>
      <c r="J18">
        <v>0.5</v>
      </c>
      <c r="K18">
        <v>5.8333333333333744E-2</v>
      </c>
      <c r="L18">
        <v>0</v>
      </c>
      <c r="M18">
        <v>0</v>
      </c>
    </row>
    <row r="19" spans="2:14" x14ac:dyDescent="0.35">
      <c r="B19">
        <v>21</v>
      </c>
      <c r="C19">
        <v>5</v>
      </c>
      <c r="D19">
        <v>21.416666666666668</v>
      </c>
      <c r="E19">
        <v>0.72</v>
      </c>
      <c r="F19">
        <v>1.1499999999999999</v>
      </c>
      <c r="I19">
        <v>21.416666666666668</v>
      </c>
      <c r="J19">
        <v>0.72</v>
      </c>
      <c r="K19">
        <v>1.2616666666666654</v>
      </c>
      <c r="L19">
        <v>1.1499999999999999</v>
      </c>
      <c r="M19">
        <v>1.4509166666666651</v>
      </c>
    </row>
    <row r="20" spans="2:14" x14ac:dyDescent="0.35">
      <c r="B20">
        <v>22</v>
      </c>
      <c r="C20">
        <v>10</v>
      </c>
      <c r="D20">
        <v>22.833333333333332</v>
      </c>
      <c r="E20">
        <v>0.2</v>
      </c>
      <c r="G20" t="s">
        <v>20</v>
      </c>
      <c r="I20">
        <v>22.833333333333332</v>
      </c>
      <c r="J20">
        <v>0.2</v>
      </c>
      <c r="L20">
        <v>0</v>
      </c>
      <c r="M20">
        <v>0</v>
      </c>
      <c r="N20">
        <v>2.5833333333333321</v>
      </c>
    </row>
    <row r="21" spans="2:14" x14ac:dyDescent="0.35">
      <c r="B21">
        <v>24</v>
      </c>
      <c r="C21">
        <v>8</v>
      </c>
      <c r="D21">
        <v>24.666666666666668</v>
      </c>
      <c r="G21" t="s">
        <v>35</v>
      </c>
      <c r="I21">
        <v>24.666666666666668</v>
      </c>
      <c r="J21">
        <v>0</v>
      </c>
      <c r="L21">
        <v>0</v>
      </c>
      <c r="M21">
        <v>0</v>
      </c>
    </row>
    <row r="22" spans="2:14" x14ac:dyDescent="0.35">
      <c r="B22">
        <v>24</v>
      </c>
      <c r="C22">
        <v>8</v>
      </c>
      <c r="D22">
        <v>24.666666666666668</v>
      </c>
      <c r="G22" t="s">
        <v>20</v>
      </c>
      <c r="I22">
        <v>24.666666666666668</v>
      </c>
      <c r="J22">
        <v>0</v>
      </c>
      <c r="L22">
        <v>0</v>
      </c>
      <c r="M22">
        <v>0</v>
      </c>
    </row>
    <row r="23" spans="2:14" x14ac:dyDescent="0.35">
      <c r="B23">
        <v>27</v>
      </c>
      <c r="C23">
        <v>5</v>
      </c>
      <c r="D23">
        <v>27.416666666666668</v>
      </c>
      <c r="E23">
        <v>1.3</v>
      </c>
      <c r="F23">
        <v>1.27</v>
      </c>
      <c r="I23">
        <v>27.416666666666668</v>
      </c>
      <c r="J23">
        <v>1.3</v>
      </c>
      <c r="K23">
        <v>5.9041666666666632</v>
      </c>
      <c r="L23">
        <v>1.27</v>
      </c>
      <c r="M23">
        <v>7.4982916666666624</v>
      </c>
    </row>
    <row r="24" spans="2:14" x14ac:dyDescent="0.35">
      <c r="B24">
        <v>29</v>
      </c>
      <c r="C24">
        <v>0</v>
      </c>
      <c r="D24">
        <v>29</v>
      </c>
      <c r="E24">
        <v>1.3</v>
      </c>
      <c r="G24" t="s">
        <v>20</v>
      </c>
      <c r="I24">
        <v>29</v>
      </c>
      <c r="J24">
        <v>1.3</v>
      </c>
      <c r="L24">
        <v>0</v>
      </c>
      <c r="M24">
        <v>0</v>
      </c>
      <c r="N24">
        <v>4.3333333333333321</v>
      </c>
    </row>
    <row r="25" spans="2:14" x14ac:dyDescent="0.35">
      <c r="B25">
        <v>30</v>
      </c>
      <c r="C25">
        <v>1</v>
      </c>
      <c r="D25">
        <v>30.083333333333332</v>
      </c>
      <c r="E25">
        <v>0</v>
      </c>
      <c r="I25">
        <v>30.083333333333332</v>
      </c>
      <c r="J25">
        <v>0</v>
      </c>
      <c r="L25">
        <v>0</v>
      </c>
      <c r="M25">
        <v>0</v>
      </c>
    </row>
    <row r="26" spans="2:14" x14ac:dyDescent="0.35">
      <c r="B26">
        <v>30</v>
      </c>
      <c r="C26">
        <v>4</v>
      </c>
      <c r="D26">
        <v>30.333333333333332</v>
      </c>
      <c r="E26">
        <v>0.24</v>
      </c>
      <c r="F26">
        <v>0.26</v>
      </c>
      <c r="I26">
        <v>30.333333333333332</v>
      </c>
      <c r="J26">
        <v>0.24</v>
      </c>
      <c r="K26">
        <v>7.0000000000000284E-2</v>
      </c>
      <c r="L26">
        <v>0.26</v>
      </c>
      <c r="M26">
        <v>1.8200000000000074E-2</v>
      </c>
    </row>
    <row r="27" spans="2:14" x14ac:dyDescent="0.35">
      <c r="B27">
        <v>30</v>
      </c>
      <c r="C27">
        <v>8</v>
      </c>
      <c r="D27">
        <v>30.666666666666668</v>
      </c>
      <c r="E27">
        <v>0</v>
      </c>
      <c r="G27" t="s">
        <v>20</v>
      </c>
      <c r="I27">
        <v>30.666666666666668</v>
      </c>
      <c r="J27">
        <v>0</v>
      </c>
      <c r="L27">
        <v>0</v>
      </c>
      <c r="M27">
        <v>0</v>
      </c>
    </row>
    <row r="29" spans="2:14" x14ac:dyDescent="0.35">
      <c r="B29" t="s">
        <v>97</v>
      </c>
      <c r="C29">
        <v>13.313333333333301</v>
      </c>
      <c r="D29" t="s">
        <v>101</v>
      </c>
      <c r="E29" t="s">
        <v>111</v>
      </c>
      <c r="F29">
        <v>143.93680000000001</v>
      </c>
      <c r="G29" t="s">
        <v>58</v>
      </c>
      <c r="K29">
        <f>SUM(K4:K27)</f>
        <v>13.313333333333331</v>
      </c>
      <c r="N29">
        <f>SUM(N4:N27)</f>
        <v>15.083333333333332</v>
      </c>
    </row>
    <row r="30" spans="2:14" x14ac:dyDescent="0.35">
      <c r="B30" t="s">
        <v>99</v>
      </c>
      <c r="C30">
        <v>17.309758333333331</v>
      </c>
      <c r="D30" t="s">
        <v>100</v>
      </c>
      <c r="E30" t="s">
        <v>94</v>
      </c>
      <c r="F30">
        <v>13.313829816666914</v>
      </c>
      <c r="G30" t="s">
        <v>101</v>
      </c>
    </row>
    <row r="31" spans="2:14" x14ac:dyDescent="0.35">
      <c r="B31" t="s">
        <v>98</v>
      </c>
      <c r="C31">
        <v>0.8826519337016574</v>
      </c>
      <c r="D31" t="s">
        <v>58</v>
      </c>
      <c r="E31" t="s">
        <v>112</v>
      </c>
      <c r="F31">
        <v>-4.9648333358298657E-4</v>
      </c>
      <c r="G31" t="s">
        <v>101</v>
      </c>
    </row>
    <row r="32" spans="2:14" x14ac:dyDescent="0.35">
      <c r="B32" t="s">
        <v>102</v>
      </c>
      <c r="C32">
        <v>1.3001821482223337</v>
      </c>
      <c r="D32" t="s">
        <v>103</v>
      </c>
    </row>
    <row r="34" spans="2:14" x14ac:dyDescent="0.35">
      <c r="B34" t="s">
        <v>105</v>
      </c>
      <c r="D34" t="s">
        <v>13</v>
      </c>
      <c r="E34" t="s">
        <v>29</v>
      </c>
      <c r="F34" t="s">
        <v>7</v>
      </c>
      <c r="G34" t="s">
        <v>3</v>
      </c>
      <c r="I34" t="s">
        <v>96</v>
      </c>
      <c r="J34" t="s">
        <v>6</v>
      </c>
      <c r="K34" t="s">
        <v>94</v>
      </c>
      <c r="L34" t="s">
        <v>7</v>
      </c>
      <c r="M34" t="s">
        <v>95</v>
      </c>
      <c r="N34" t="s">
        <v>127</v>
      </c>
    </row>
    <row r="35" spans="2:14" x14ac:dyDescent="0.35">
      <c r="B35">
        <v>4</v>
      </c>
      <c r="C35">
        <v>0</v>
      </c>
      <c r="D35">
        <v>4</v>
      </c>
      <c r="G35" t="s">
        <v>12</v>
      </c>
      <c r="I35">
        <v>4</v>
      </c>
      <c r="L35">
        <v>0</v>
      </c>
      <c r="M35">
        <v>0</v>
      </c>
    </row>
    <row r="36" spans="2:14" x14ac:dyDescent="0.35">
      <c r="B36">
        <v>4</v>
      </c>
      <c r="C36">
        <v>9</v>
      </c>
      <c r="D36">
        <v>4.75</v>
      </c>
      <c r="E36">
        <v>0.2</v>
      </c>
      <c r="F36">
        <v>0.03</v>
      </c>
      <c r="I36">
        <v>4.75</v>
      </c>
      <c r="J36">
        <v>0.2</v>
      </c>
      <c r="K36">
        <v>7.5000000000000011E-2</v>
      </c>
      <c r="L36">
        <v>0.03</v>
      </c>
      <c r="M36">
        <v>2.2500000000000003E-3</v>
      </c>
    </row>
    <row r="37" spans="2:14" x14ac:dyDescent="0.35">
      <c r="B37">
        <v>5</v>
      </c>
      <c r="C37">
        <v>5</v>
      </c>
      <c r="D37">
        <v>5.416666666666667</v>
      </c>
      <c r="E37">
        <v>0.86</v>
      </c>
      <c r="F37">
        <v>0.46</v>
      </c>
      <c r="G37" t="s">
        <v>121</v>
      </c>
      <c r="I37">
        <v>5.416666666666667</v>
      </c>
      <c r="J37">
        <v>0.86</v>
      </c>
      <c r="K37">
        <v>1.1108333333333336</v>
      </c>
      <c r="L37">
        <v>0.46</v>
      </c>
      <c r="M37">
        <v>0.51098333333333346</v>
      </c>
    </row>
    <row r="38" spans="2:14" x14ac:dyDescent="0.35">
      <c r="B38">
        <v>6</v>
      </c>
      <c r="C38">
        <v>8</v>
      </c>
      <c r="D38">
        <v>6.666666666666667</v>
      </c>
      <c r="E38">
        <v>0.82</v>
      </c>
      <c r="F38">
        <v>1.18</v>
      </c>
      <c r="I38">
        <v>6.666666666666667</v>
      </c>
      <c r="J38">
        <v>0.82</v>
      </c>
      <c r="K38">
        <v>1.3324999999999996</v>
      </c>
      <c r="L38">
        <v>1.18</v>
      </c>
      <c r="M38">
        <v>1.5723499999999995</v>
      </c>
    </row>
    <row r="39" spans="2:14" x14ac:dyDescent="0.35">
      <c r="B39">
        <v>8</v>
      </c>
      <c r="C39">
        <v>8</v>
      </c>
      <c r="D39">
        <v>8.6666666666666661</v>
      </c>
      <c r="E39">
        <v>1.35</v>
      </c>
      <c r="F39">
        <v>2.21</v>
      </c>
      <c r="I39">
        <v>8.6666666666666661</v>
      </c>
      <c r="J39">
        <v>1.35</v>
      </c>
      <c r="K39">
        <v>2.6999999999999997</v>
      </c>
      <c r="L39">
        <v>2.21</v>
      </c>
      <c r="M39">
        <v>5.9669999999999996</v>
      </c>
    </row>
    <row r="40" spans="2:14" x14ac:dyDescent="0.35">
      <c r="B40">
        <v>9</v>
      </c>
      <c r="C40">
        <v>8</v>
      </c>
      <c r="D40">
        <v>9.6666666666666661</v>
      </c>
      <c r="G40" t="s">
        <v>122</v>
      </c>
      <c r="I40">
        <v>9.6666666666666661</v>
      </c>
      <c r="N40">
        <v>5.6666666666666661</v>
      </c>
    </row>
    <row r="41" spans="2:14" x14ac:dyDescent="0.35">
      <c r="B41">
        <v>11</v>
      </c>
      <c r="C41">
        <v>1</v>
      </c>
      <c r="D41">
        <v>11.083333333333334</v>
      </c>
      <c r="E41">
        <v>0.3</v>
      </c>
      <c r="F41">
        <v>1.8</v>
      </c>
      <c r="I41">
        <v>11.083333333333334</v>
      </c>
      <c r="J41">
        <v>0.3</v>
      </c>
      <c r="K41">
        <v>0.70000000000000018</v>
      </c>
      <c r="L41">
        <v>1.8</v>
      </c>
      <c r="M41">
        <v>1.2600000000000005</v>
      </c>
    </row>
    <row r="42" spans="2:14" x14ac:dyDescent="0.35">
      <c r="B42">
        <v>12</v>
      </c>
      <c r="C42">
        <v>0</v>
      </c>
      <c r="D42">
        <v>12</v>
      </c>
      <c r="G42" t="s">
        <v>122</v>
      </c>
      <c r="I42">
        <v>12</v>
      </c>
      <c r="N42">
        <v>2.3333333333333339</v>
      </c>
    </row>
    <row r="43" spans="2:14" x14ac:dyDescent="0.35">
      <c r="B43">
        <v>13</v>
      </c>
      <c r="C43">
        <v>2</v>
      </c>
      <c r="D43">
        <v>13.166666666666666</v>
      </c>
      <c r="E43">
        <v>0.8</v>
      </c>
      <c r="F43">
        <v>2.59</v>
      </c>
      <c r="I43">
        <v>13.166666666666666</v>
      </c>
      <c r="J43">
        <v>0.8</v>
      </c>
      <c r="K43">
        <v>1.333333333333333</v>
      </c>
      <c r="L43">
        <v>2.59</v>
      </c>
      <c r="M43">
        <v>3.4533333333333323</v>
      </c>
    </row>
    <row r="44" spans="2:14" x14ac:dyDescent="0.35">
      <c r="B44">
        <v>13</v>
      </c>
      <c r="C44">
        <v>8</v>
      </c>
      <c r="D44">
        <v>13.666666666666666</v>
      </c>
      <c r="G44" t="s">
        <v>123</v>
      </c>
      <c r="I44">
        <v>13.666666666666666</v>
      </c>
      <c r="N44">
        <v>1.6666666666666661</v>
      </c>
    </row>
    <row r="45" spans="2:14" x14ac:dyDescent="0.35">
      <c r="B45">
        <v>20</v>
      </c>
      <c r="C45">
        <v>2</v>
      </c>
      <c r="D45">
        <v>20.166666666666668</v>
      </c>
      <c r="G45" t="s">
        <v>121</v>
      </c>
      <c r="I45">
        <v>20.166666666666668</v>
      </c>
    </row>
    <row r="46" spans="2:14" x14ac:dyDescent="0.35">
      <c r="B46">
        <v>21</v>
      </c>
      <c r="C46">
        <v>6</v>
      </c>
      <c r="D46">
        <v>21.5</v>
      </c>
      <c r="E46">
        <v>0.7</v>
      </c>
      <c r="F46">
        <v>2.83</v>
      </c>
      <c r="I46">
        <v>21.5</v>
      </c>
      <c r="J46">
        <v>0.7</v>
      </c>
      <c r="K46">
        <v>1.4583333333333324</v>
      </c>
      <c r="L46">
        <v>2.83</v>
      </c>
      <c r="M46">
        <v>4.1270833333333306</v>
      </c>
    </row>
    <row r="47" spans="2:14" x14ac:dyDescent="0.35">
      <c r="B47">
        <v>22</v>
      </c>
      <c r="C47">
        <v>3</v>
      </c>
      <c r="D47">
        <v>22.25</v>
      </c>
      <c r="G47" t="s">
        <v>123</v>
      </c>
      <c r="I47">
        <v>22.25</v>
      </c>
      <c r="N47">
        <v>2.0833333333333321</v>
      </c>
    </row>
    <row r="48" spans="2:14" x14ac:dyDescent="0.35">
      <c r="B48">
        <v>24</v>
      </c>
      <c r="C48">
        <v>5</v>
      </c>
      <c r="D48">
        <v>24.416666666666668</v>
      </c>
      <c r="G48" t="s">
        <v>121</v>
      </c>
      <c r="I48">
        <v>24.416666666666668</v>
      </c>
    </row>
    <row r="49" spans="2:28" x14ac:dyDescent="0.35">
      <c r="B49">
        <v>25</v>
      </c>
      <c r="C49">
        <v>3</v>
      </c>
      <c r="D49">
        <v>25.25</v>
      </c>
      <c r="E49">
        <v>1</v>
      </c>
      <c r="F49">
        <v>1.0900000000000001</v>
      </c>
      <c r="I49">
        <v>25.25</v>
      </c>
      <c r="J49">
        <v>1</v>
      </c>
      <c r="K49">
        <v>1.5833333333333321</v>
      </c>
      <c r="L49">
        <v>1.0900000000000001</v>
      </c>
      <c r="M49">
        <v>1.7258333333333322</v>
      </c>
    </row>
    <row r="50" spans="2:28" x14ac:dyDescent="0.35">
      <c r="B50">
        <v>26</v>
      </c>
      <c r="C50">
        <v>0</v>
      </c>
      <c r="D50">
        <v>26</v>
      </c>
      <c r="G50" t="s">
        <v>123</v>
      </c>
      <c r="I50">
        <v>26</v>
      </c>
      <c r="N50">
        <v>1.5833333333333321</v>
      </c>
    </row>
    <row r="51" spans="2:28" x14ac:dyDescent="0.35">
      <c r="B51">
        <v>27</v>
      </c>
      <c r="C51">
        <v>4</v>
      </c>
      <c r="D51">
        <v>27.333333333333332</v>
      </c>
      <c r="G51" t="s">
        <v>121</v>
      </c>
      <c r="I51">
        <v>27.333333333333332</v>
      </c>
    </row>
    <row r="52" spans="2:28" x14ac:dyDescent="0.35">
      <c r="B52">
        <v>27</v>
      </c>
      <c r="C52">
        <v>9</v>
      </c>
      <c r="D52">
        <v>27.75</v>
      </c>
      <c r="E52">
        <v>1</v>
      </c>
      <c r="F52">
        <v>0.3</v>
      </c>
      <c r="I52">
        <v>27.75</v>
      </c>
      <c r="J52">
        <v>1</v>
      </c>
      <c r="K52">
        <v>0.91666666666666785</v>
      </c>
      <c r="L52">
        <v>0.3</v>
      </c>
      <c r="M52">
        <v>0.27500000000000036</v>
      </c>
    </row>
    <row r="53" spans="2:28" x14ac:dyDescent="0.35">
      <c r="B53">
        <v>28</v>
      </c>
      <c r="C53">
        <v>3</v>
      </c>
      <c r="D53">
        <v>28.25</v>
      </c>
      <c r="G53" t="s">
        <v>123</v>
      </c>
      <c r="I53">
        <v>28.25</v>
      </c>
      <c r="N53">
        <v>0.91666666666666785</v>
      </c>
    </row>
    <row r="54" spans="2:28" x14ac:dyDescent="0.35">
      <c r="B54">
        <v>29</v>
      </c>
      <c r="C54">
        <v>7</v>
      </c>
      <c r="D54">
        <v>29.583333333333332</v>
      </c>
      <c r="G54" t="s">
        <v>121</v>
      </c>
      <c r="I54">
        <v>29.583333333333332</v>
      </c>
    </row>
    <row r="55" spans="2:28" x14ac:dyDescent="0.35">
      <c r="B55">
        <v>30</v>
      </c>
      <c r="C55">
        <v>2</v>
      </c>
      <c r="D55">
        <v>30.166666666666668</v>
      </c>
      <c r="E55">
        <v>0.3</v>
      </c>
      <c r="F55">
        <v>0.81</v>
      </c>
      <c r="I55">
        <v>30.166666666666668</v>
      </c>
      <c r="J55">
        <v>0.3</v>
      </c>
      <c r="K55">
        <v>0.33749999999999997</v>
      </c>
      <c r="L55">
        <v>0.81</v>
      </c>
      <c r="M55">
        <v>0.27337499999999998</v>
      </c>
    </row>
    <row r="56" spans="2:28" x14ac:dyDescent="0.35">
      <c r="B56">
        <v>30</v>
      </c>
      <c r="C56">
        <v>7</v>
      </c>
      <c r="D56">
        <v>30.583333333333332</v>
      </c>
      <c r="G56" t="s">
        <v>123</v>
      </c>
      <c r="I56">
        <v>30.583333333333332</v>
      </c>
    </row>
    <row r="57" spans="2:28" x14ac:dyDescent="0.35">
      <c r="B57">
        <v>30</v>
      </c>
      <c r="C57">
        <v>10</v>
      </c>
      <c r="D57">
        <v>30.833333333333332</v>
      </c>
      <c r="G57" t="s">
        <v>36</v>
      </c>
      <c r="I57">
        <v>30.833333333333332</v>
      </c>
      <c r="N57">
        <v>1.25</v>
      </c>
    </row>
    <row r="58" spans="2:28" x14ac:dyDescent="0.35">
      <c r="K58">
        <f>SUM(K35:K57)</f>
        <v>11.547499999999999</v>
      </c>
      <c r="N58">
        <f>SUM(N35:N57)</f>
        <v>15.499999999999998</v>
      </c>
    </row>
    <row r="59" spans="2:28" x14ac:dyDescent="0.35">
      <c r="B59" t="s">
        <v>97</v>
      </c>
      <c r="C59">
        <v>11.547499999999999</v>
      </c>
      <c r="D59" t="s">
        <v>101</v>
      </c>
      <c r="E59" t="s">
        <v>111</v>
      </c>
      <c r="F59">
        <v>143.92160000000001</v>
      </c>
      <c r="G59" t="s">
        <v>58</v>
      </c>
    </row>
    <row r="60" spans="2:28" x14ac:dyDescent="0.35">
      <c r="B60" t="s">
        <v>99</v>
      </c>
      <c r="C60">
        <v>19.167208333333328</v>
      </c>
      <c r="D60" t="s">
        <v>100</v>
      </c>
      <c r="E60" t="s">
        <v>94</v>
      </c>
      <c r="F60">
        <v>11.547252200000507</v>
      </c>
      <c r="G60" t="s">
        <v>101</v>
      </c>
    </row>
    <row r="61" spans="2:28" x14ac:dyDescent="0.35">
      <c r="B61" t="s">
        <v>98</v>
      </c>
      <c r="C61">
        <v>0.745</v>
      </c>
      <c r="D61" t="s">
        <v>58</v>
      </c>
      <c r="E61" t="s">
        <v>112</v>
      </c>
      <c r="F61">
        <v>2.4779999949231524E-4</v>
      </c>
      <c r="G61" t="s">
        <v>101</v>
      </c>
    </row>
    <row r="62" spans="2:28" x14ac:dyDescent="0.35">
      <c r="B62" t="s">
        <v>102</v>
      </c>
      <c r="C62">
        <v>1.6598578335859129</v>
      </c>
      <c r="D62" t="s">
        <v>103</v>
      </c>
    </row>
    <row r="64" spans="2:28" x14ac:dyDescent="0.35">
      <c r="D64" t="s">
        <v>96</v>
      </c>
      <c r="E64" t="s">
        <v>128</v>
      </c>
      <c r="F64" t="s">
        <v>129</v>
      </c>
      <c r="G64" t="s">
        <v>130</v>
      </c>
      <c r="I64" t="s">
        <v>140</v>
      </c>
      <c r="K64" t="s">
        <v>96</v>
      </c>
      <c r="L64" t="s">
        <v>128</v>
      </c>
      <c r="M64" t="s">
        <v>131</v>
      </c>
      <c r="N64" t="s">
        <v>132</v>
      </c>
      <c r="O64" t="s">
        <v>133</v>
      </c>
      <c r="P64" t="s">
        <v>134</v>
      </c>
      <c r="Q64" t="s">
        <v>135</v>
      </c>
      <c r="R64" t="s">
        <v>136</v>
      </c>
      <c r="S64" t="s">
        <v>137</v>
      </c>
      <c r="T64" t="s">
        <v>138</v>
      </c>
      <c r="U64" t="s">
        <v>139</v>
      </c>
      <c r="W64" t="s">
        <v>96</v>
      </c>
      <c r="X64" t="s">
        <v>128</v>
      </c>
      <c r="Y64" t="s">
        <v>135</v>
      </c>
      <c r="Z64" t="s">
        <v>96</v>
      </c>
      <c r="AA64" t="s">
        <v>141</v>
      </c>
      <c r="AB64" t="s">
        <v>142</v>
      </c>
    </row>
    <row r="65" spans="2:28" x14ac:dyDescent="0.35">
      <c r="B65">
        <v>4</v>
      </c>
      <c r="C65">
        <v>0</v>
      </c>
      <c r="D65">
        <v>4</v>
      </c>
      <c r="I65" t="s">
        <v>12</v>
      </c>
      <c r="K65">
        <v>4</v>
      </c>
      <c r="S65">
        <v>0</v>
      </c>
      <c r="T65">
        <v>0</v>
      </c>
      <c r="W65">
        <v>4</v>
      </c>
      <c r="Z65">
        <v>4</v>
      </c>
      <c r="AA65">
        <v>0</v>
      </c>
      <c r="AB65">
        <v>0</v>
      </c>
    </row>
    <row r="66" spans="2:28" x14ac:dyDescent="0.35">
      <c r="B66">
        <v>4</v>
      </c>
      <c r="C66">
        <v>8</v>
      </c>
      <c r="D66">
        <v>4.666666666666667</v>
      </c>
      <c r="G66" t="s">
        <v>12</v>
      </c>
      <c r="K66">
        <v>4.666666666666667</v>
      </c>
      <c r="L66">
        <v>0</v>
      </c>
      <c r="N66">
        <v>0</v>
      </c>
      <c r="O66">
        <v>0</v>
      </c>
      <c r="W66">
        <v>4.666666666666667</v>
      </c>
      <c r="Z66">
        <v>4.666666666666667</v>
      </c>
      <c r="AA66">
        <f t="shared" ref="AA66:AA111" si="0">AA65+M66</f>
        <v>0</v>
      </c>
      <c r="AB66">
        <f>AB65+R66</f>
        <v>0</v>
      </c>
    </row>
    <row r="67" spans="2:28" x14ac:dyDescent="0.35">
      <c r="B67">
        <v>4</v>
      </c>
      <c r="C67">
        <v>9</v>
      </c>
      <c r="D67">
        <v>4.75</v>
      </c>
      <c r="E67">
        <v>0.2</v>
      </c>
      <c r="F67">
        <v>0.03</v>
      </c>
      <c r="K67">
        <v>4.75</v>
      </c>
      <c r="Q67">
        <v>0.2</v>
      </c>
      <c r="R67">
        <v>7.5000000000000011E-2</v>
      </c>
      <c r="S67">
        <v>0.03</v>
      </c>
      <c r="T67">
        <v>2.2500000000000003E-3</v>
      </c>
      <c r="W67">
        <v>4.75</v>
      </c>
      <c r="Y67">
        <f>Q67</f>
        <v>0.2</v>
      </c>
      <c r="Z67">
        <v>4.75</v>
      </c>
      <c r="AA67">
        <f t="shared" si="0"/>
        <v>0</v>
      </c>
      <c r="AB67">
        <f t="shared" ref="AB67:AB111" si="1">AB66+R67</f>
        <v>7.5000000000000011E-2</v>
      </c>
    </row>
    <row r="68" spans="2:28" x14ac:dyDescent="0.35">
      <c r="B68">
        <v>5</v>
      </c>
      <c r="C68">
        <v>2</v>
      </c>
      <c r="D68">
        <v>5.166666666666667</v>
      </c>
      <c r="E68">
        <v>0.2</v>
      </c>
      <c r="G68" t="s">
        <v>11</v>
      </c>
      <c r="K68">
        <v>5.166666666666667</v>
      </c>
      <c r="L68">
        <v>0.2</v>
      </c>
      <c r="M68">
        <v>9.1666666666666619E-2</v>
      </c>
      <c r="N68">
        <v>0</v>
      </c>
      <c r="O68">
        <v>0</v>
      </c>
      <c r="W68">
        <v>5.166666666666667</v>
      </c>
      <c r="X68">
        <f>L68</f>
        <v>0.2</v>
      </c>
      <c r="Z68">
        <v>5.166666666666667</v>
      </c>
      <c r="AA68">
        <f t="shared" si="0"/>
        <v>9.1666666666666619E-2</v>
      </c>
      <c r="AB68">
        <f t="shared" si="1"/>
        <v>7.5000000000000011E-2</v>
      </c>
    </row>
    <row r="69" spans="2:28" x14ac:dyDescent="0.35">
      <c r="B69">
        <v>5</v>
      </c>
      <c r="C69">
        <v>5</v>
      </c>
      <c r="D69">
        <v>5.416666666666667</v>
      </c>
      <c r="I69" t="s">
        <v>121</v>
      </c>
      <c r="K69">
        <v>5.416666666666667</v>
      </c>
      <c r="Q69">
        <v>0.86</v>
      </c>
      <c r="R69">
        <v>1.1108333333333336</v>
      </c>
      <c r="S69">
        <v>0.46</v>
      </c>
      <c r="T69">
        <v>0.51098333333333346</v>
      </c>
      <c r="W69">
        <v>5.416666666666667</v>
      </c>
      <c r="Y69">
        <f>Q69</f>
        <v>0.86</v>
      </c>
      <c r="Z69">
        <v>5.416666666666667</v>
      </c>
      <c r="AA69">
        <f t="shared" si="0"/>
        <v>9.1666666666666619E-2</v>
      </c>
      <c r="AB69">
        <f t="shared" si="1"/>
        <v>1.1858333333333335</v>
      </c>
    </row>
    <row r="70" spans="2:28" x14ac:dyDescent="0.35">
      <c r="B70">
        <v>5</v>
      </c>
      <c r="C70">
        <v>7</v>
      </c>
      <c r="D70">
        <v>5.583333333333333</v>
      </c>
      <c r="E70">
        <v>0.7</v>
      </c>
      <c r="G70" t="s">
        <v>30</v>
      </c>
      <c r="K70">
        <v>5.583333333333333</v>
      </c>
      <c r="L70">
        <v>0.7</v>
      </c>
      <c r="M70">
        <v>0.32083333333333308</v>
      </c>
      <c r="N70">
        <v>0</v>
      </c>
      <c r="O70">
        <v>0</v>
      </c>
      <c r="W70">
        <v>5.583333333333333</v>
      </c>
      <c r="X70">
        <f t="shared" ref="X70:X108" si="2">L70</f>
        <v>0.7</v>
      </c>
      <c r="Z70">
        <v>5.583333333333333</v>
      </c>
      <c r="AA70">
        <f t="shared" si="0"/>
        <v>0.4124999999999997</v>
      </c>
      <c r="AB70">
        <f t="shared" si="1"/>
        <v>1.1858333333333335</v>
      </c>
    </row>
    <row r="71" spans="2:28" x14ac:dyDescent="0.35">
      <c r="B71">
        <v>6</v>
      </c>
      <c r="C71">
        <v>1</v>
      </c>
      <c r="D71">
        <v>6.083333333333333</v>
      </c>
      <c r="E71">
        <v>0.7</v>
      </c>
      <c r="F71">
        <v>0.85</v>
      </c>
      <c r="K71">
        <v>6.083333333333333</v>
      </c>
      <c r="L71">
        <v>0.7</v>
      </c>
      <c r="M71">
        <v>0.64166666666666683</v>
      </c>
      <c r="N71">
        <v>0.85</v>
      </c>
      <c r="O71">
        <v>0.54541666666666677</v>
      </c>
      <c r="W71">
        <v>6.083333333333333</v>
      </c>
      <c r="X71">
        <f t="shared" si="2"/>
        <v>0.7</v>
      </c>
      <c r="Z71">
        <v>6.083333333333333</v>
      </c>
      <c r="AA71">
        <f t="shared" si="0"/>
        <v>1.0541666666666665</v>
      </c>
      <c r="AB71">
        <f t="shared" si="1"/>
        <v>1.1858333333333335</v>
      </c>
    </row>
    <row r="72" spans="2:28" x14ac:dyDescent="0.35">
      <c r="B72">
        <v>6</v>
      </c>
      <c r="C72">
        <v>8</v>
      </c>
      <c r="D72">
        <v>6.666666666666667</v>
      </c>
      <c r="K72">
        <v>6.666666666666667</v>
      </c>
      <c r="Q72">
        <v>0.82</v>
      </c>
      <c r="R72">
        <v>1.3324999999999996</v>
      </c>
      <c r="S72">
        <v>1.18</v>
      </c>
      <c r="T72">
        <v>1.5723499999999995</v>
      </c>
      <c r="W72">
        <v>6.666666666666667</v>
      </c>
      <c r="Y72">
        <f>Q72</f>
        <v>0.82</v>
      </c>
      <c r="Z72">
        <v>6.666666666666667</v>
      </c>
      <c r="AA72">
        <f t="shared" si="0"/>
        <v>1.0541666666666665</v>
      </c>
      <c r="AB72">
        <f t="shared" si="1"/>
        <v>2.5183333333333331</v>
      </c>
    </row>
    <row r="73" spans="2:28" x14ac:dyDescent="0.35">
      <c r="B73">
        <v>6</v>
      </c>
      <c r="C73">
        <v>9</v>
      </c>
      <c r="D73">
        <v>6.75</v>
      </c>
      <c r="E73">
        <v>0.76</v>
      </c>
      <c r="G73" t="s">
        <v>20</v>
      </c>
      <c r="K73">
        <v>6.75</v>
      </c>
      <c r="L73">
        <v>0.76</v>
      </c>
      <c r="N73">
        <v>0</v>
      </c>
      <c r="O73">
        <v>0</v>
      </c>
      <c r="P73">
        <v>1.166666666666667</v>
      </c>
      <c r="W73">
        <v>6.75</v>
      </c>
      <c r="X73">
        <f t="shared" si="2"/>
        <v>0.76</v>
      </c>
      <c r="Z73">
        <v>6.75</v>
      </c>
      <c r="AA73">
        <f t="shared" si="0"/>
        <v>1.0541666666666665</v>
      </c>
      <c r="AB73">
        <f t="shared" si="1"/>
        <v>2.5183333333333331</v>
      </c>
    </row>
    <row r="74" spans="2:28" x14ac:dyDescent="0.35">
      <c r="B74">
        <v>8</v>
      </c>
      <c r="C74">
        <v>5</v>
      </c>
      <c r="D74">
        <v>8.4166666666666661</v>
      </c>
      <c r="E74">
        <v>1.1000000000000001</v>
      </c>
      <c r="F74">
        <v>1.97</v>
      </c>
      <c r="K74">
        <v>8.4166666666666661</v>
      </c>
      <c r="L74">
        <v>1.1000000000000001</v>
      </c>
      <c r="M74">
        <v>2.6333333333333337</v>
      </c>
      <c r="N74">
        <v>1.97</v>
      </c>
      <c r="O74">
        <v>5.1876666666666678</v>
      </c>
      <c r="W74">
        <v>8.4166666666666661</v>
      </c>
      <c r="X74">
        <f t="shared" si="2"/>
        <v>1.1000000000000001</v>
      </c>
      <c r="Z74">
        <v>8.4166666666666661</v>
      </c>
      <c r="AA74">
        <f t="shared" si="0"/>
        <v>3.6875</v>
      </c>
      <c r="AB74">
        <f t="shared" si="1"/>
        <v>2.5183333333333331</v>
      </c>
    </row>
    <row r="75" spans="2:28" x14ac:dyDescent="0.35">
      <c r="B75">
        <v>8</v>
      </c>
      <c r="C75">
        <v>8</v>
      </c>
      <c r="D75">
        <v>8.6666666666666661</v>
      </c>
      <c r="K75">
        <v>8.6666666666666661</v>
      </c>
      <c r="Q75">
        <v>1.35</v>
      </c>
      <c r="R75">
        <v>2.6999999999999997</v>
      </c>
      <c r="S75">
        <v>2.21</v>
      </c>
      <c r="T75">
        <v>5.9669999999999996</v>
      </c>
      <c r="W75">
        <v>8.6666666666666661</v>
      </c>
      <c r="Y75">
        <f>Q75</f>
        <v>1.35</v>
      </c>
      <c r="Z75">
        <v>8.6666666666666661</v>
      </c>
      <c r="AA75">
        <f t="shared" si="0"/>
        <v>3.6875</v>
      </c>
      <c r="AB75">
        <f t="shared" si="1"/>
        <v>5.2183333333333328</v>
      </c>
    </row>
    <row r="76" spans="2:28" x14ac:dyDescent="0.35">
      <c r="B76">
        <v>9</v>
      </c>
      <c r="C76">
        <v>6</v>
      </c>
      <c r="D76">
        <v>9.5</v>
      </c>
      <c r="E76">
        <v>0.9</v>
      </c>
      <c r="G76" t="s">
        <v>20</v>
      </c>
      <c r="K76">
        <v>9.5</v>
      </c>
      <c r="L76">
        <v>0.9</v>
      </c>
      <c r="N76">
        <v>0</v>
      </c>
      <c r="O76">
        <v>0</v>
      </c>
      <c r="P76">
        <v>2.75</v>
      </c>
      <c r="W76">
        <v>9.5</v>
      </c>
      <c r="X76">
        <f t="shared" si="2"/>
        <v>0.9</v>
      </c>
      <c r="Z76">
        <v>9.5</v>
      </c>
      <c r="AA76">
        <f t="shared" si="0"/>
        <v>3.6875</v>
      </c>
      <c r="AB76">
        <f t="shared" si="1"/>
        <v>5.2183333333333328</v>
      </c>
    </row>
    <row r="77" spans="2:28" x14ac:dyDescent="0.35">
      <c r="B77">
        <v>9</v>
      </c>
      <c r="C77">
        <v>8</v>
      </c>
      <c r="D77">
        <v>9.6666666666666661</v>
      </c>
      <c r="I77" t="s">
        <v>122</v>
      </c>
      <c r="K77">
        <v>9.6666666666666661</v>
      </c>
      <c r="U77">
        <v>5.6666666666666661</v>
      </c>
      <c r="W77">
        <v>9.6666666666666661</v>
      </c>
      <c r="Z77">
        <v>9.6666666666666661</v>
      </c>
      <c r="AA77">
        <f t="shared" si="0"/>
        <v>3.6875</v>
      </c>
      <c r="AB77">
        <f t="shared" si="1"/>
        <v>5.2183333333333328</v>
      </c>
    </row>
    <row r="78" spans="2:28" x14ac:dyDescent="0.35">
      <c r="B78">
        <v>11</v>
      </c>
      <c r="C78">
        <v>1</v>
      </c>
      <c r="D78">
        <v>11.083333333333334</v>
      </c>
      <c r="K78">
        <v>11.083333333333334</v>
      </c>
      <c r="Q78">
        <v>0.3</v>
      </c>
      <c r="R78">
        <v>0.70000000000000018</v>
      </c>
      <c r="S78">
        <v>1.8</v>
      </c>
      <c r="T78">
        <v>1.2600000000000005</v>
      </c>
      <c r="W78">
        <v>11.083333333333334</v>
      </c>
      <c r="Y78">
        <f>Q78</f>
        <v>0.3</v>
      </c>
      <c r="Z78">
        <v>11.083333333333334</v>
      </c>
      <c r="AA78">
        <f t="shared" si="0"/>
        <v>3.6875</v>
      </c>
      <c r="AB78">
        <f t="shared" si="1"/>
        <v>5.918333333333333</v>
      </c>
    </row>
    <row r="79" spans="2:28" x14ac:dyDescent="0.35">
      <c r="B79">
        <v>11</v>
      </c>
      <c r="C79">
        <v>2</v>
      </c>
      <c r="D79">
        <v>11.166666666666666</v>
      </c>
      <c r="E79">
        <v>0.14000000000000001</v>
      </c>
      <c r="F79">
        <v>0.69</v>
      </c>
      <c r="K79">
        <v>11.166666666666666</v>
      </c>
      <c r="L79">
        <v>0.14000000000000001</v>
      </c>
      <c r="M79">
        <v>0.48333333333333328</v>
      </c>
      <c r="N79">
        <v>0.69</v>
      </c>
      <c r="O79">
        <v>0.33349999999999996</v>
      </c>
      <c r="W79">
        <v>11.166666666666666</v>
      </c>
      <c r="X79">
        <f t="shared" si="2"/>
        <v>0.14000000000000001</v>
      </c>
      <c r="Z79">
        <v>11.166666666666666</v>
      </c>
      <c r="AA79">
        <f t="shared" si="0"/>
        <v>4.1708333333333334</v>
      </c>
      <c r="AB79">
        <f t="shared" si="1"/>
        <v>5.918333333333333</v>
      </c>
    </row>
    <row r="80" spans="2:28" x14ac:dyDescent="0.35">
      <c r="B80">
        <v>12</v>
      </c>
      <c r="C80">
        <v>0</v>
      </c>
      <c r="D80">
        <v>12</v>
      </c>
      <c r="I80" t="s">
        <v>122</v>
      </c>
      <c r="K80">
        <v>12</v>
      </c>
      <c r="U80">
        <v>2.3333333333333339</v>
      </c>
      <c r="W80">
        <v>12</v>
      </c>
      <c r="Z80">
        <v>12</v>
      </c>
      <c r="AA80">
        <f t="shared" si="0"/>
        <v>4.1708333333333334</v>
      </c>
      <c r="AB80">
        <f t="shared" si="1"/>
        <v>5.918333333333333</v>
      </c>
    </row>
    <row r="81" spans="2:28" x14ac:dyDescent="0.35">
      <c r="B81">
        <v>12</v>
      </c>
      <c r="C81">
        <v>2</v>
      </c>
      <c r="D81">
        <v>12.166666666666666</v>
      </c>
      <c r="E81">
        <v>0.36</v>
      </c>
      <c r="G81" t="s">
        <v>32</v>
      </c>
      <c r="K81">
        <v>12.166666666666666</v>
      </c>
      <c r="L81">
        <v>0.36</v>
      </c>
      <c r="N81">
        <v>0</v>
      </c>
      <c r="O81">
        <v>0</v>
      </c>
      <c r="P81">
        <v>2.6666666666666661</v>
      </c>
      <c r="W81">
        <v>12.166666666666666</v>
      </c>
      <c r="X81">
        <f t="shared" si="2"/>
        <v>0.36</v>
      </c>
      <c r="Z81">
        <v>12.166666666666666</v>
      </c>
      <c r="AA81">
        <f t="shared" si="0"/>
        <v>4.1708333333333334</v>
      </c>
      <c r="AB81">
        <f t="shared" si="1"/>
        <v>5.918333333333333</v>
      </c>
    </row>
    <row r="82" spans="2:28" x14ac:dyDescent="0.35">
      <c r="B82">
        <v>12</v>
      </c>
      <c r="C82">
        <v>3</v>
      </c>
      <c r="D82">
        <v>12.25</v>
      </c>
      <c r="E82">
        <v>0.9</v>
      </c>
      <c r="G82" t="s">
        <v>31</v>
      </c>
      <c r="K82">
        <v>12.25</v>
      </c>
      <c r="L82">
        <v>0.9</v>
      </c>
      <c r="N82">
        <v>0</v>
      </c>
      <c r="O82">
        <v>0</v>
      </c>
      <c r="W82">
        <v>12.25</v>
      </c>
      <c r="X82">
        <f t="shared" si="2"/>
        <v>0.9</v>
      </c>
      <c r="Z82">
        <v>12.25</v>
      </c>
      <c r="AA82">
        <f t="shared" si="0"/>
        <v>4.1708333333333334</v>
      </c>
      <c r="AB82">
        <f t="shared" si="1"/>
        <v>5.918333333333333</v>
      </c>
    </row>
    <row r="83" spans="2:28" x14ac:dyDescent="0.35">
      <c r="B83">
        <v>13</v>
      </c>
      <c r="C83">
        <v>1</v>
      </c>
      <c r="D83">
        <v>13.083333333333334</v>
      </c>
      <c r="E83">
        <v>1.07</v>
      </c>
      <c r="F83">
        <v>1.34</v>
      </c>
      <c r="K83">
        <v>13.083333333333334</v>
      </c>
      <c r="L83">
        <v>1.07</v>
      </c>
      <c r="M83">
        <v>1.6983333333333339</v>
      </c>
      <c r="N83">
        <v>1.34</v>
      </c>
      <c r="O83">
        <v>2.2757666666666676</v>
      </c>
      <c r="W83">
        <v>13.083333333333334</v>
      </c>
      <c r="X83">
        <f t="shared" si="2"/>
        <v>1.07</v>
      </c>
      <c r="Z83">
        <v>13.083333333333334</v>
      </c>
      <c r="AA83">
        <f t="shared" si="0"/>
        <v>5.8691666666666675</v>
      </c>
      <c r="AB83">
        <f t="shared" si="1"/>
        <v>5.918333333333333</v>
      </c>
    </row>
    <row r="84" spans="2:28" x14ac:dyDescent="0.35">
      <c r="B84">
        <v>13</v>
      </c>
      <c r="C84">
        <v>2</v>
      </c>
      <c r="D84">
        <v>13.166666666666666</v>
      </c>
      <c r="K84">
        <v>13.166666666666666</v>
      </c>
      <c r="Q84">
        <v>0.8</v>
      </c>
      <c r="R84">
        <v>1.333333333333333</v>
      </c>
      <c r="S84">
        <v>2.59</v>
      </c>
      <c r="T84">
        <v>3.4533333333333323</v>
      </c>
      <c r="W84">
        <v>13.166666666666666</v>
      </c>
      <c r="Y84">
        <f>Q84</f>
        <v>0.8</v>
      </c>
      <c r="Z84">
        <v>13.166666666666666</v>
      </c>
      <c r="AA84">
        <f t="shared" si="0"/>
        <v>5.8691666666666675</v>
      </c>
      <c r="AB84">
        <f t="shared" si="1"/>
        <v>7.251666666666666</v>
      </c>
    </row>
    <row r="85" spans="2:28" x14ac:dyDescent="0.35">
      <c r="B85">
        <v>13</v>
      </c>
      <c r="C85">
        <v>8</v>
      </c>
      <c r="D85">
        <v>13.666666666666666</v>
      </c>
      <c r="I85" t="s">
        <v>123</v>
      </c>
      <c r="K85">
        <v>13.666666666666666</v>
      </c>
      <c r="U85">
        <v>1.6666666666666661</v>
      </c>
      <c r="W85">
        <v>13.666666666666666</v>
      </c>
      <c r="Z85">
        <v>13.666666666666666</v>
      </c>
      <c r="AA85">
        <f t="shared" si="0"/>
        <v>5.8691666666666675</v>
      </c>
      <c r="AB85">
        <f t="shared" si="1"/>
        <v>7.251666666666666</v>
      </c>
    </row>
    <row r="86" spans="2:28" x14ac:dyDescent="0.35">
      <c r="B86">
        <v>13</v>
      </c>
      <c r="C86">
        <v>10</v>
      </c>
      <c r="D86">
        <v>13.833333333333334</v>
      </c>
      <c r="E86">
        <v>1.27</v>
      </c>
      <c r="G86" t="s">
        <v>20</v>
      </c>
      <c r="K86">
        <v>13.833333333333334</v>
      </c>
      <c r="L86">
        <v>1.27</v>
      </c>
      <c r="N86">
        <v>0</v>
      </c>
      <c r="O86">
        <v>0</v>
      </c>
      <c r="P86">
        <v>1.5833333333333339</v>
      </c>
      <c r="W86">
        <v>13.833333333333334</v>
      </c>
      <c r="X86">
        <f t="shared" si="2"/>
        <v>1.27</v>
      </c>
      <c r="Z86">
        <v>13.833333333333334</v>
      </c>
      <c r="AA86">
        <f t="shared" si="0"/>
        <v>5.8691666666666675</v>
      </c>
      <c r="AB86">
        <f t="shared" si="1"/>
        <v>7.251666666666666</v>
      </c>
    </row>
    <row r="87" spans="2:28" x14ac:dyDescent="0.35">
      <c r="B87">
        <v>18</v>
      </c>
      <c r="C87">
        <v>9</v>
      </c>
      <c r="D87">
        <v>18.75</v>
      </c>
      <c r="E87">
        <v>0</v>
      </c>
      <c r="G87" t="s">
        <v>33</v>
      </c>
      <c r="K87">
        <v>18.75</v>
      </c>
      <c r="L87">
        <v>0</v>
      </c>
      <c r="N87">
        <v>0</v>
      </c>
      <c r="O87">
        <v>0</v>
      </c>
      <c r="W87">
        <v>18.75</v>
      </c>
      <c r="Z87">
        <v>18.75</v>
      </c>
      <c r="AA87">
        <f t="shared" si="0"/>
        <v>5.8691666666666675</v>
      </c>
      <c r="AB87">
        <f t="shared" si="1"/>
        <v>7.251666666666666</v>
      </c>
    </row>
    <row r="88" spans="2:28" x14ac:dyDescent="0.35">
      <c r="B88">
        <v>20</v>
      </c>
      <c r="C88">
        <v>2</v>
      </c>
      <c r="D88">
        <v>20.166666666666668</v>
      </c>
      <c r="I88" t="s">
        <v>121</v>
      </c>
      <c r="K88">
        <v>20.166666666666668</v>
      </c>
      <c r="W88">
        <v>20.166666666666668</v>
      </c>
      <c r="Z88">
        <v>20.166666666666668</v>
      </c>
      <c r="AA88">
        <f t="shared" si="0"/>
        <v>5.8691666666666675</v>
      </c>
      <c r="AB88">
        <f t="shared" si="1"/>
        <v>7.251666666666666</v>
      </c>
    </row>
    <row r="89" spans="2:28" x14ac:dyDescent="0.35">
      <c r="B89">
        <v>20</v>
      </c>
      <c r="C89">
        <v>3</v>
      </c>
      <c r="D89">
        <v>20.25</v>
      </c>
      <c r="E89">
        <v>0.2</v>
      </c>
      <c r="F89">
        <v>0</v>
      </c>
      <c r="G89" t="s">
        <v>34</v>
      </c>
      <c r="K89">
        <v>20.25</v>
      </c>
      <c r="L89">
        <v>0.2</v>
      </c>
      <c r="M89">
        <v>0.15000000000000002</v>
      </c>
      <c r="N89">
        <v>0</v>
      </c>
      <c r="O89">
        <v>0</v>
      </c>
      <c r="W89">
        <v>20.25</v>
      </c>
      <c r="X89">
        <f t="shared" si="2"/>
        <v>0.2</v>
      </c>
      <c r="Z89">
        <v>20.25</v>
      </c>
      <c r="AA89">
        <f t="shared" si="0"/>
        <v>6.0191666666666679</v>
      </c>
      <c r="AB89">
        <f t="shared" si="1"/>
        <v>7.251666666666666</v>
      </c>
    </row>
    <row r="90" spans="2:28" x14ac:dyDescent="0.35">
      <c r="B90">
        <v>20</v>
      </c>
      <c r="C90">
        <v>5</v>
      </c>
      <c r="D90">
        <v>20.416666666666668</v>
      </c>
      <c r="E90">
        <v>0.5</v>
      </c>
      <c r="G90" t="s">
        <v>33</v>
      </c>
      <c r="K90">
        <v>20.416666666666668</v>
      </c>
      <c r="L90">
        <v>0.5</v>
      </c>
      <c r="M90">
        <v>5.8333333333333744E-2</v>
      </c>
      <c r="N90">
        <v>0</v>
      </c>
      <c r="O90">
        <v>0</v>
      </c>
      <c r="W90">
        <v>20.416666666666668</v>
      </c>
      <c r="X90">
        <f t="shared" si="2"/>
        <v>0.5</v>
      </c>
      <c r="Z90">
        <v>20.416666666666668</v>
      </c>
      <c r="AA90">
        <f t="shared" si="0"/>
        <v>6.0775000000000015</v>
      </c>
      <c r="AB90">
        <f t="shared" si="1"/>
        <v>7.251666666666666</v>
      </c>
    </row>
    <row r="91" spans="2:28" x14ac:dyDescent="0.35">
      <c r="B91">
        <v>21</v>
      </c>
      <c r="C91">
        <v>5</v>
      </c>
      <c r="D91">
        <v>21.416666666666668</v>
      </c>
      <c r="E91">
        <v>0.72</v>
      </c>
      <c r="F91">
        <v>1.1499999999999999</v>
      </c>
      <c r="K91">
        <v>21.416666666666668</v>
      </c>
      <c r="L91">
        <v>0.72</v>
      </c>
      <c r="M91">
        <v>1.2616666666666654</v>
      </c>
      <c r="N91">
        <v>1.1499999999999999</v>
      </c>
      <c r="O91">
        <v>1.4509166666666651</v>
      </c>
      <c r="W91">
        <v>21.416666666666668</v>
      </c>
      <c r="X91">
        <f t="shared" si="2"/>
        <v>0.72</v>
      </c>
      <c r="Z91">
        <v>21.416666666666668</v>
      </c>
      <c r="AA91">
        <f t="shared" si="0"/>
        <v>7.3391666666666673</v>
      </c>
      <c r="AB91">
        <f t="shared" si="1"/>
        <v>7.251666666666666</v>
      </c>
    </row>
    <row r="92" spans="2:28" x14ac:dyDescent="0.35">
      <c r="B92">
        <v>21</v>
      </c>
      <c r="C92">
        <v>6</v>
      </c>
      <c r="D92">
        <v>21.5</v>
      </c>
      <c r="K92">
        <v>21.5</v>
      </c>
      <c r="Q92">
        <v>0.7</v>
      </c>
      <c r="R92">
        <v>1.4583333333333324</v>
      </c>
      <c r="S92">
        <v>2.83</v>
      </c>
      <c r="T92">
        <v>4.1270833333333306</v>
      </c>
      <c r="W92">
        <v>21.5</v>
      </c>
      <c r="Y92">
        <f>Q92</f>
        <v>0.7</v>
      </c>
      <c r="Z92">
        <v>21.5</v>
      </c>
      <c r="AA92">
        <f t="shared" si="0"/>
        <v>7.3391666666666673</v>
      </c>
      <c r="AB92">
        <f t="shared" si="1"/>
        <v>8.7099999999999991</v>
      </c>
    </row>
    <row r="93" spans="2:28" x14ac:dyDescent="0.35">
      <c r="B93">
        <v>22</v>
      </c>
      <c r="C93">
        <v>3</v>
      </c>
      <c r="D93">
        <v>22.25</v>
      </c>
      <c r="I93" t="s">
        <v>123</v>
      </c>
      <c r="K93">
        <v>22.25</v>
      </c>
      <c r="U93">
        <v>2.0833333333333321</v>
      </c>
      <c r="W93">
        <v>22.25</v>
      </c>
      <c r="Z93">
        <v>22.25</v>
      </c>
      <c r="AA93">
        <f t="shared" si="0"/>
        <v>7.3391666666666673</v>
      </c>
      <c r="AB93">
        <f t="shared" si="1"/>
        <v>8.7099999999999991</v>
      </c>
    </row>
    <row r="94" spans="2:28" x14ac:dyDescent="0.35">
      <c r="B94">
        <v>22</v>
      </c>
      <c r="C94">
        <v>10</v>
      </c>
      <c r="D94">
        <v>22.833333333333332</v>
      </c>
      <c r="E94">
        <v>0.2</v>
      </c>
      <c r="G94" t="s">
        <v>20</v>
      </c>
      <c r="K94">
        <v>22.833333333333332</v>
      </c>
      <c r="L94">
        <v>0.2</v>
      </c>
      <c r="N94">
        <v>0</v>
      </c>
      <c r="O94">
        <v>0</v>
      </c>
      <c r="P94">
        <v>2.5833333333333321</v>
      </c>
      <c r="W94">
        <v>22.833333333333332</v>
      </c>
      <c r="X94">
        <f t="shared" si="2"/>
        <v>0.2</v>
      </c>
      <c r="Z94">
        <v>22.833333333333332</v>
      </c>
      <c r="AA94">
        <f t="shared" si="0"/>
        <v>7.3391666666666673</v>
      </c>
      <c r="AB94">
        <f t="shared" si="1"/>
        <v>8.7099999999999991</v>
      </c>
    </row>
    <row r="95" spans="2:28" x14ac:dyDescent="0.35">
      <c r="B95">
        <v>24</v>
      </c>
      <c r="C95">
        <v>5</v>
      </c>
      <c r="D95">
        <v>24.416666666666668</v>
      </c>
      <c r="I95" t="s">
        <v>121</v>
      </c>
      <c r="K95">
        <v>24.416666666666668</v>
      </c>
      <c r="W95">
        <v>24.416666666666668</v>
      </c>
      <c r="Z95">
        <v>24.416666666666668</v>
      </c>
      <c r="AA95">
        <f t="shared" si="0"/>
        <v>7.3391666666666673</v>
      </c>
      <c r="AB95">
        <f t="shared" si="1"/>
        <v>8.7099999999999991</v>
      </c>
    </row>
    <row r="96" spans="2:28" x14ac:dyDescent="0.35">
      <c r="B96">
        <v>24</v>
      </c>
      <c r="C96">
        <v>8</v>
      </c>
      <c r="D96">
        <v>24.666666666666668</v>
      </c>
      <c r="G96" t="s">
        <v>35</v>
      </c>
      <c r="K96">
        <v>24.666666666666668</v>
      </c>
      <c r="L96">
        <v>0</v>
      </c>
      <c r="N96">
        <v>0</v>
      </c>
      <c r="O96">
        <v>0</v>
      </c>
      <c r="W96">
        <v>24.666666666666668</v>
      </c>
      <c r="Z96">
        <v>24.666666666666668</v>
      </c>
      <c r="AA96">
        <f t="shared" si="0"/>
        <v>7.3391666666666673</v>
      </c>
      <c r="AB96">
        <f t="shared" si="1"/>
        <v>8.7099999999999991</v>
      </c>
    </row>
    <row r="97" spans="2:28" x14ac:dyDescent="0.35">
      <c r="B97">
        <v>24</v>
      </c>
      <c r="C97">
        <v>8</v>
      </c>
      <c r="D97">
        <v>24.666666666666668</v>
      </c>
      <c r="G97" t="s">
        <v>20</v>
      </c>
      <c r="K97">
        <v>24.666666666666668</v>
      </c>
      <c r="L97">
        <v>0</v>
      </c>
      <c r="N97">
        <v>0</v>
      </c>
      <c r="O97">
        <v>0</v>
      </c>
      <c r="W97">
        <v>24.666666666666668</v>
      </c>
      <c r="Z97">
        <v>24.666666666666668</v>
      </c>
      <c r="AA97">
        <f t="shared" si="0"/>
        <v>7.3391666666666673</v>
      </c>
      <c r="AB97">
        <f t="shared" si="1"/>
        <v>8.7099999999999991</v>
      </c>
    </row>
    <row r="98" spans="2:28" x14ac:dyDescent="0.35">
      <c r="B98">
        <v>25</v>
      </c>
      <c r="C98">
        <v>3</v>
      </c>
      <c r="D98">
        <v>25.25</v>
      </c>
      <c r="K98">
        <v>25.25</v>
      </c>
      <c r="Q98">
        <v>1</v>
      </c>
      <c r="R98">
        <v>1.5833333333333321</v>
      </c>
      <c r="S98">
        <v>1.0900000000000001</v>
      </c>
      <c r="T98">
        <v>1.7258333333333322</v>
      </c>
      <c r="W98">
        <v>25.25</v>
      </c>
      <c r="Z98">
        <v>25.25</v>
      </c>
      <c r="AA98">
        <f t="shared" si="0"/>
        <v>7.3391666666666673</v>
      </c>
      <c r="AB98">
        <f t="shared" si="1"/>
        <v>10.293333333333331</v>
      </c>
    </row>
    <row r="99" spans="2:28" x14ac:dyDescent="0.35">
      <c r="B99">
        <v>26</v>
      </c>
      <c r="C99">
        <v>0</v>
      </c>
      <c r="D99">
        <v>26</v>
      </c>
      <c r="I99" t="s">
        <v>123</v>
      </c>
      <c r="K99">
        <v>26</v>
      </c>
      <c r="U99">
        <v>1.5833333333333321</v>
      </c>
      <c r="W99">
        <v>26</v>
      </c>
      <c r="Z99">
        <v>26</v>
      </c>
      <c r="AA99">
        <f t="shared" si="0"/>
        <v>7.3391666666666673</v>
      </c>
      <c r="AB99">
        <f t="shared" si="1"/>
        <v>10.293333333333331</v>
      </c>
    </row>
    <row r="100" spans="2:28" x14ac:dyDescent="0.35">
      <c r="B100">
        <v>27</v>
      </c>
      <c r="C100">
        <v>4</v>
      </c>
      <c r="D100">
        <v>27.333333333333332</v>
      </c>
      <c r="I100" t="s">
        <v>121</v>
      </c>
      <c r="K100">
        <v>27.333333333333332</v>
      </c>
      <c r="W100">
        <v>27.333333333333332</v>
      </c>
      <c r="Z100">
        <v>27.333333333333332</v>
      </c>
      <c r="AA100">
        <f t="shared" si="0"/>
        <v>7.3391666666666673</v>
      </c>
      <c r="AB100">
        <f t="shared" si="1"/>
        <v>10.293333333333331</v>
      </c>
    </row>
    <row r="101" spans="2:28" x14ac:dyDescent="0.35">
      <c r="B101">
        <v>27</v>
      </c>
      <c r="C101">
        <v>5</v>
      </c>
      <c r="D101">
        <v>27.416666666666668</v>
      </c>
      <c r="E101">
        <v>1.3</v>
      </c>
      <c r="F101">
        <v>1.27</v>
      </c>
      <c r="K101">
        <v>27.416666666666668</v>
      </c>
      <c r="L101">
        <v>1.3</v>
      </c>
      <c r="M101">
        <v>5.9041666666666632</v>
      </c>
      <c r="N101">
        <v>1.27</v>
      </c>
      <c r="O101">
        <v>7.4982916666666624</v>
      </c>
      <c r="W101">
        <v>27.416666666666668</v>
      </c>
      <c r="Z101">
        <v>27.416666666666668</v>
      </c>
      <c r="AA101">
        <f t="shared" si="0"/>
        <v>13.243333333333331</v>
      </c>
      <c r="AB101">
        <f t="shared" si="1"/>
        <v>10.293333333333331</v>
      </c>
    </row>
    <row r="102" spans="2:28" x14ac:dyDescent="0.35">
      <c r="B102">
        <v>27</v>
      </c>
      <c r="C102">
        <v>9</v>
      </c>
      <c r="D102">
        <v>27.75</v>
      </c>
      <c r="K102">
        <v>27.75</v>
      </c>
      <c r="Q102">
        <v>1</v>
      </c>
      <c r="R102">
        <v>0.91666666666666785</v>
      </c>
      <c r="S102">
        <v>0.3</v>
      </c>
      <c r="T102">
        <v>0.27500000000000036</v>
      </c>
      <c r="W102">
        <v>27.75</v>
      </c>
      <c r="Z102">
        <v>27.75</v>
      </c>
      <c r="AA102">
        <f t="shared" si="0"/>
        <v>13.243333333333331</v>
      </c>
      <c r="AB102">
        <f t="shared" si="1"/>
        <v>11.209999999999999</v>
      </c>
    </row>
    <row r="103" spans="2:28" x14ac:dyDescent="0.35">
      <c r="B103">
        <v>28</v>
      </c>
      <c r="C103">
        <v>3</v>
      </c>
      <c r="D103">
        <v>28.25</v>
      </c>
      <c r="I103" t="s">
        <v>123</v>
      </c>
      <c r="K103">
        <v>28.25</v>
      </c>
      <c r="U103">
        <v>0.91666666666666785</v>
      </c>
      <c r="W103">
        <v>28.25</v>
      </c>
      <c r="Z103">
        <v>28.25</v>
      </c>
      <c r="AA103">
        <f t="shared" si="0"/>
        <v>13.243333333333331</v>
      </c>
      <c r="AB103">
        <f t="shared" si="1"/>
        <v>11.209999999999999</v>
      </c>
    </row>
    <row r="104" spans="2:28" x14ac:dyDescent="0.35">
      <c r="B104">
        <v>29</v>
      </c>
      <c r="C104">
        <v>0</v>
      </c>
      <c r="D104">
        <v>29</v>
      </c>
      <c r="E104">
        <v>1.3</v>
      </c>
      <c r="G104" t="s">
        <v>20</v>
      </c>
      <c r="K104">
        <v>29</v>
      </c>
      <c r="L104">
        <v>1.3</v>
      </c>
      <c r="N104">
        <v>0</v>
      </c>
      <c r="O104">
        <v>0</v>
      </c>
      <c r="P104">
        <v>4.3333333333333321</v>
      </c>
      <c r="W104">
        <v>29</v>
      </c>
      <c r="Z104">
        <v>29</v>
      </c>
      <c r="AA104">
        <f t="shared" si="0"/>
        <v>13.243333333333331</v>
      </c>
      <c r="AB104">
        <f t="shared" si="1"/>
        <v>11.209999999999999</v>
      </c>
    </row>
    <row r="105" spans="2:28" x14ac:dyDescent="0.35">
      <c r="B105">
        <v>29</v>
      </c>
      <c r="C105">
        <v>7</v>
      </c>
      <c r="D105">
        <v>29.583333333333332</v>
      </c>
      <c r="I105" t="s">
        <v>121</v>
      </c>
      <c r="K105">
        <v>29.583333333333332</v>
      </c>
      <c r="W105">
        <v>29.583333333333332</v>
      </c>
      <c r="Z105">
        <v>29.583333333333332</v>
      </c>
      <c r="AA105">
        <f t="shared" si="0"/>
        <v>13.243333333333331</v>
      </c>
      <c r="AB105">
        <f t="shared" si="1"/>
        <v>11.209999999999999</v>
      </c>
    </row>
    <row r="106" spans="2:28" x14ac:dyDescent="0.35">
      <c r="B106">
        <v>30</v>
      </c>
      <c r="C106">
        <v>1</v>
      </c>
      <c r="D106">
        <v>30.083333333333332</v>
      </c>
      <c r="E106">
        <v>0</v>
      </c>
      <c r="K106">
        <v>30.083333333333332</v>
      </c>
      <c r="L106">
        <v>0</v>
      </c>
      <c r="N106">
        <v>0</v>
      </c>
      <c r="O106">
        <v>0</v>
      </c>
      <c r="W106">
        <v>30.083333333333332</v>
      </c>
      <c r="Z106">
        <v>30.083333333333332</v>
      </c>
      <c r="AA106">
        <f t="shared" si="0"/>
        <v>13.243333333333331</v>
      </c>
      <c r="AB106">
        <f t="shared" si="1"/>
        <v>11.209999999999999</v>
      </c>
    </row>
    <row r="107" spans="2:28" x14ac:dyDescent="0.35">
      <c r="B107">
        <v>30</v>
      </c>
      <c r="C107">
        <v>2</v>
      </c>
      <c r="D107">
        <v>30.166666666666668</v>
      </c>
      <c r="K107">
        <v>30.166666666666668</v>
      </c>
      <c r="Q107">
        <v>0.3</v>
      </c>
      <c r="R107">
        <v>0.33749999999999997</v>
      </c>
      <c r="S107">
        <v>0.81</v>
      </c>
      <c r="T107">
        <v>0.27337499999999998</v>
      </c>
      <c r="W107">
        <v>30.166666666666668</v>
      </c>
      <c r="Y107">
        <f>Q107</f>
        <v>0.3</v>
      </c>
      <c r="Z107">
        <v>30.166666666666668</v>
      </c>
      <c r="AA107">
        <f t="shared" si="0"/>
        <v>13.243333333333331</v>
      </c>
      <c r="AB107">
        <f t="shared" si="1"/>
        <v>11.547499999999999</v>
      </c>
    </row>
    <row r="108" spans="2:28" x14ac:dyDescent="0.35">
      <c r="B108">
        <v>30</v>
      </c>
      <c r="C108">
        <v>4</v>
      </c>
      <c r="D108">
        <v>30.333333333333332</v>
      </c>
      <c r="E108">
        <v>0.24</v>
      </c>
      <c r="F108">
        <v>0.26</v>
      </c>
      <c r="K108">
        <v>30.333333333333332</v>
      </c>
      <c r="L108">
        <v>0.24</v>
      </c>
      <c r="M108">
        <v>7.0000000000000284E-2</v>
      </c>
      <c r="N108">
        <v>0.26</v>
      </c>
      <c r="O108">
        <v>1.8200000000000074E-2</v>
      </c>
      <c r="W108">
        <v>30.333333333333332</v>
      </c>
      <c r="X108">
        <f t="shared" si="2"/>
        <v>0.24</v>
      </c>
      <c r="Z108">
        <v>30.333333333333332</v>
      </c>
      <c r="AA108">
        <f t="shared" si="0"/>
        <v>13.313333333333331</v>
      </c>
      <c r="AB108">
        <f t="shared" si="1"/>
        <v>11.547499999999999</v>
      </c>
    </row>
    <row r="109" spans="2:28" x14ac:dyDescent="0.35">
      <c r="B109">
        <v>30</v>
      </c>
      <c r="C109">
        <v>7</v>
      </c>
      <c r="D109">
        <v>30.583333333333332</v>
      </c>
      <c r="I109" t="s">
        <v>123</v>
      </c>
      <c r="K109">
        <v>30.583333333333332</v>
      </c>
      <c r="W109">
        <v>30.583333333333332</v>
      </c>
      <c r="Z109">
        <v>30.583333333333332</v>
      </c>
      <c r="AA109">
        <f t="shared" si="0"/>
        <v>13.313333333333331</v>
      </c>
      <c r="AB109">
        <f t="shared" si="1"/>
        <v>11.547499999999999</v>
      </c>
    </row>
    <row r="110" spans="2:28" x14ac:dyDescent="0.35">
      <c r="B110">
        <v>30</v>
      </c>
      <c r="C110">
        <v>8</v>
      </c>
      <c r="D110">
        <v>30.666666666666668</v>
      </c>
      <c r="E110">
        <v>0</v>
      </c>
      <c r="G110" t="s">
        <v>20</v>
      </c>
      <c r="K110">
        <v>30.666666666666668</v>
      </c>
      <c r="L110">
        <v>0</v>
      </c>
      <c r="N110">
        <v>0</v>
      </c>
      <c r="O110">
        <v>0</v>
      </c>
      <c r="W110">
        <v>30.666666666666668</v>
      </c>
      <c r="Z110">
        <v>30.666666666666668</v>
      </c>
      <c r="AA110">
        <f t="shared" si="0"/>
        <v>13.313333333333331</v>
      </c>
      <c r="AB110">
        <f t="shared" si="1"/>
        <v>11.547499999999999</v>
      </c>
    </row>
    <row r="111" spans="2:28" x14ac:dyDescent="0.35">
      <c r="B111">
        <v>30</v>
      </c>
      <c r="C111">
        <v>10</v>
      </c>
      <c r="D111">
        <v>30.833333333333332</v>
      </c>
      <c r="I111" t="s">
        <v>36</v>
      </c>
      <c r="K111">
        <v>30.833333333333332</v>
      </c>
      <c r="U111">
        <v>1.25</v>
      </c>
      <c r="W111">
        <v>30.833333333333332</v>
      </c>
      <c r="Z111">
        <v>30.833333333333332</v>
      </c>
      <c r="AA111">
        <f t="shared" si="0"/>
        <v>13.313333333333331</v>
      </c>
      <c r="AB111">
        <f t="shared" si="1"/>
        <v>11.547499999999999</v>
      </c>
    </row>
    <row r="113" spans="13:25" x14ac:dyDescent="0.35">
      <c r="M113">
        <f>SUM(M65:M111)</f>
        <v>13.313333333333331</v>
      </c>
      <c r="O113">
        <f>SUM(O65:O111)</f>
        <v>17.309758333333331</v>
      </c>
      <c r="P113">
        <f>SUM(P65:P111)</f>
        <v>15.083333333333332</v>
      </c>
      <c r="R113">
        <f>SUM(R65:R111)</f>
        <v>11.547499999999999</v>
      </c>
      <c r="T113">
        <f>SUM(T65:T111)</f>
        <v>19.167208333333328</v>
      </c>
      <c r="U113">
        <f>SUM(U65:U111)</f>
        <v>15.499999999999998</v>
      </c>
      <c r="X113">
        <f>AVERAGE(X65:X111)</f>
        <v>0.62250000000000005</v>
      </c>
      <c r="Y113">
        <f>AVERAGE(Y65:Y111)</f>
        <v>0.66625000000000001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9" sqref="G29"/>
    </sheetView>
  </sheetViews>
  <sheetFormatPr defaultColWidth="8.7265625" defaultRowHeight="14.5" customHeight="1" x14ac:dyDescent="0.35"/>
  <cols>
    <col min="1" max="2" width="8.7265625" style="9"/>
    <col min="3" max="4" width="8.7265625" style="11"/>
    <col min="5" max="16384" width="8.7265625" style="9"/>
  </cols>
  <sheetData>
    <row r="1" spans="1:6" ht="14.5" customHeight="1" x14ac:dyDescent="0.35">
      <c r="A1" s="9" t="s">
        <v>1</v>
      </c>
      <c r="C1" s="34" t="s">
        <v>14</v>
      </c>
      <c r="D1" s="34"/>
      <c r="E1" s="9">
        <v>1</v>
      </c>
      <c r="F1" s="9" t="s">
        <v>15</v>
      </c>
    </row>
    <row r="2" spans="1:6" ht="14.5" customHeight="1" x14ac:dyDescent="0.35">
      <c r="A2" s="9" t="s">
        <v>8</v>
      </c>
      <c r="B2" s="9" t="s">
        <v>9</v>
      </c>
      <c r="C2" s="10" t="s">
        <v>13</v>
      </c>
      <c r="D2" s="10" t="s">
        <v>29</v>
      </c>
      <c r="E2" s="9" t="s">
        <v>7</v>
      </c>
      <c r="F2" s="9" t="s">
        <v>3</v>
      </c>
    </row>
    <row r="3" spans="1:6" ht="14.5" customHeight="1" x14ac:dyDescent="0.35">
      <c r="A3" s="9">
        <v>25</v>
      </c>
      <c r="B3" s="9">
        <v>0</v>
      </c>
      <c r="C3" s="11">
        <f t="shared" ref="C3" si="0">A3+(B3/12)</f>
        <v>25</v>
      </c>
      <c r="D3" s="11">
        <v>0.7</v>
      </c>
      <c r="E3" s="9">
        <v>0.08</v>
      </c>
    </row>
    <row r="4" spans="1:6" ht="14.5" customHeight="1" x14ac:dyDescent="0.35">
      <c r="A4" s="9">
        <v>31</v>
      </c>
      <c r="B4" s="9">
        <v>0</v>
      </c>
      <c r="C4" s="11">
        <f>A4+(B4/12)</f>
        <v>31</v>
      </c>
      <c r="D4" s="11">
        <v>0.77</v>
      </c>
      <c r="E4" s="9">
        <v>0.12</v>
      </c>
    </row>
    <row r="5" spans="1:6" ht="14.5" customHeight="1" x14ac:dyDescent="0.35">
      <c r="A5" s="9">
        <v>34</v>
      </c>
      <c r="B5" s="9">
        <v>6</v>
      </c>
      <c r="C5" s="11">
        <f t="shared" ref="C5:C8" si="1">A5+(B5/12)</f>
        <v>34.5</v>
      </c>
      <c r="D5" s="11">
        <v>0.68</v>
      </c>
      <c r="E5" s="9">
        <v>0.24</v>
      </c>
    </row>
    <row r="6" spans="1:6" ht="14.5" customHeight="1" x14ac:dyDescent="0.35">
      <c r="A6" s="9">
        <v>40</v>
      </c>
      <c r="B6" s="9">
        <v>0</v>
      </c>
      <c r="C6" s="11">
        <f t="shared" si="1"/>
        <v>40</v>
      </c>
      <c r="D6" s="11">
        <v>0.65</v>
      </c>
      <c r="E6" s="9">
        <v>0.06</v>
      </c>
    </row>
    <row r="7" spans="1:6" ht="14.5" customHeight="1" x14ac:dyDescent="0.35">
      <c r="A7" s="9">
        <v>44</v>
      </c>
      <c r="B7" s="9">
        <v>0</v>
      </c>
      <c r="C7" s="11">
        <f t="shared" si="1"/>
        <v>44</v>
      </c>
      <c r="D7" s="11">
        <v>0.64</v>
      </c>
      <c r="E7" s="9">
        <v>0.16</v>
      </c>
    </row>
    <row r="8" spans="1:6" ht="14.5" customHeight="1" x14ac:dyDescent="0.35">
      <c r="A8" s="9">
        <v>53</v>
      </c>
      <c r="B8" s="9">
        <v>0</v>
      </c>
      <c r="C8" s="11">
        <f t="shared" si="1"/>
        <v>53</v>
      </c>
      <c r="D8" s="11">
        <v>0.55000000000000004</v>
      </c>
      <c r="E8" s="9">
        <v>0.01</v>
      </c>
    </row>
    <row r="35" spans="1:1" ht="14.5" customHeight="1" x14ac:dyDescent="0.35">
      <c r="A35" s="9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35"/>
  <sheetViews>
    <sheetView workbookViewId="0">
      <selection activeCell="I21" sqref="I21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2</v>
      </c>
      <c r="F1" s="21" t="s">
        <v>16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23</v>
      </c>
      <c r="B3" s="21">
        <v>6</v>
      </c>
      <c r="C3" s="21">
        <f t="shared" ref="C3" si="0">A3+(B3/12)</f>
        <v>23.5</v>
      </c>
      <c r="D3" s="21">
        <v>0.74</v>
      </c>
      <c r="E3" s="21">
        <v>0.01</v>
      </c>
    </row>
    <row r="4" spans="1:6" ht="14.5" customHeight="1" x14ac:dyDescent="0.35">
      <c r="A4" s="21">
        <v>25</v>
      </c>
      <c r="B4" s="21">
        <v>0</v>
      </c>
      <c r="C4" s="21">
        <f>A4+(B4/12)</f>
        <v>25</v>
      </c>
      <c r="D4" s="21">
        <v>0.9</v>
      </c>
      <c r="E4" s="21">
        <v>0.21</v>
      </c>
    </row>
    <row r="5" spans="1:6" ht="14.5" customHeight="1" x14ac:dyDescent="0.35">
      <c r="A5" s="21">
        <v>27</v>
      </c>
      <c r="B5" s="21">
        <v>3.5</v>
      </c>
      <c r="C5" s="21">
        <f t="shared" ref="C5:C12" si="1">A5+(B5/12)</f>
        <v>27.291666666666668</v>
      </c>
      <c r="D5" s="21">
        <v>1.22</v>
      </c>
      <c r="E5" s="21">
        <v>0.55000000000000004</v>
      </c>
    </row>
    <row r="6" spans="1:6" ht="14.5" customHeight="1" x14ac:dyDescent="0.35">
      <c r="A6" s="21">
        <v>30</v>
      </c>
      <c r="B6" s="21">
        <v>1</v>
      </c>
      <c r="C6" s="21">
        <f t="shared" si="1"/>
        <v>30.083333333333332</v>
      </c>
      <c r="D6" s="21">
        <v>1.01</v>
      </c>
      <c r="E6" s="21">
        <v>0.43</v>
      </c>
    </row>
    <row r="7" spans="1:6" ht="14.5" customHeight="1" x14ac:dyDescent="0.35">
      <c r="A7" s="21">
        <v>34</v>
      </c>
      <c r="B7" s="21">
        <v>6</v>
      </c>
      <c r="C7" s="21">
        <f t="shared" si="1"/>
        <v>34.5</v>
      </c>
      <c r="D7" s="21">
        <v>0.73</v>
      </c>
      <c r="E7" s="21">
        <v>0.39</v>
      </c>
    </row>
    <row r="8" spans="1:6" ht="14.5" customHeight="1" x14ac:dyDescent="0.35">
      <c r="A8" s="21">
        <v>40</v>
      </c>
      <c r="B8" s="21">
        <v>0</v>
      </c>
      <c r="C8" s="21">
        <f t="shared" si="1"/>
        <v>40</v>
      </c>
      <c r="D8" s="21">
        <v>0.79</v>
      </c>
      <c r="E8" s="21">
        <v>0.38</v>
      </c>
    </row>
    <row r="9" spans="1:6" ht="14.5" customHeight="1" x14ac:dyDescent="0.35">
      <c r="A9" s="21">
        <v>44</v>
      </c>
      <c r="B9" s="21">
        <v>0</v>
      </c>
      <c r="C9" s="21">
        <f t="shared" si="1"/>
        <v>44</v>
      </c>
      <c r="D9" s="21">
        <v>0.7</v>
      </c>
      <c r="E9" s="21">
        <v>0.3</v>
      </c>
    </row>
    <row r="10" spans="1:6" ht="14.5" customHeight="1" x14ac:dyDescent="0.35">
      <c r="A10" s="21">
        <v>53</v>
      </c>
      <c r="B10" s="21">
        <v>0</v>
      </c>
      <c r="C10" s="21">
        <f t="shared" si="1"/>
        <v>53</v>
      </c>
      <c r="D10" s="21">
        <v>0.77</v>
      </c>
      <c r="E10" s="21">
        <v>0.16</v>
      </c>
    </row>
    <row r="11" spans="1:6" ht="14.5" customHeight="1" x14ac:dyDescent="0.35">
      <c r="A11" s="21">
        <v>55</v>
      </c>
      <c r="B11" s="21">
        <v>9</v>
      </c>
      <c r="C11" s="21">
        <f t="shared" si="1"/>
        <v>55.75</v>
      </c>
      <c r="D11" s="21">
        <v>1.03</v>
      </c>
      <c r="E11" s="21">
        <v>0.13</v>
      </c>
    </row>
    <row r="12" spans="1:6" ht="14.5" customHeight="1" x14ac:dyDescent="0.35">
      <c r="A12" s="21">
        <v>60</v>
      </c>
      <c r="B12" s="21">
        <v>10</v>
      </c>
      <c r="C12" s="21">
        <f t="shared" si="1"/>
        <v>60.833333333333336</v>
      </c>
      <c r="F12" s="21" t="s">
        <v>17</v>
      </c>
    </row>
    <row r="18" spans="1:1" ht="14.5" customHeight="1" x14ac:dyDescent="0.35">
      <c r="A18" s="21" t="s">
        <v>0</v>
      </c>
    </row>
    <row r="19" spans="1:1" ht="14.5" customHeight="1" x14ac:dyDescent="0.35">
      <c r="A19" s="21" t="s">
        <v>4</v>
      </c>
    </row>
    <row r="35" spans="1:1" ht="14.5" customHeight="1" x14ac:dyDescent="0.35">
      <c r="A35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36"/>
  <sheetViews>
    <sheetView workbookViewId="0">
      <selection activeCell="H13" sqref="H13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3</v>
      </c>
      <c r="F1" s="21" t="s">
        <v>18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23</v>
      </c>
      <c r="B3" s="21">
        <v>6</v>
      </c>
      <c r="C3" s="21">
        <f t="shared" ref="C3" si="0">A3+(B3/12)</f>
        <v>23.5</v>
      </c>
      <c r="D3" s="21">
        <v>1</v>
      </c>
      <c r="F3" s="21" t="s">
        <v>19</v>
      </c>
    </row>
    <row r="4" spans="1:6" ht="14.5" customHeight="1" x14ac:dyDescent="0.35">
      <c r="A4" s="21">
        <v>25</v>
      </c>
      <c r="B4" s="21">
        <v>4</v>
      </c>
      <c r="C4" s="21">
        <f>A4+(B4/12)</f>
        <v>25.333333333333332</v>
      </c>
      <c r="D4" s="21">
        <v>1</v>
      </c>
      <c r="E4" s="21">
        <v>0.3</v>
      </c>
    </row>
    <row r="5" spans="1:6" ht="14.5" customHeight="1" x14ac:dyDescent="0.35">
      <c r="A5" s="21">
        <v>26</v>
      </c>
      <c r="B5" s="21">
        <v>7</v>
      </c>
      <c r="C5" s="21">
        <f t="shared" ref="C5:C20" si="1">A5+(B5/12)</f>
        <v>26.583333333333332</v>
      </c>
      <c r="D5" s="21">
        <v>1.4</v>
      </c>
      <c r="F5" s="21" t="s">
        <v>20</v>
      </c>
    </row>
    <row r="6" spans="1:6" ht="14.5" customHeight="1" x14ac:dyDescent="0.35">
      <c r="A6" s="21">
        <v>27</v>
      </c>
      <c r="B6" s="21">
        <v>9</v>
      </c>
      <c r="C6" s="21">
        <f t="shared" si="1"/>
        <v>27.75</v>
      </c>
      <c r="D6" s="21">
        <v>1.38</v>
      </c>
      <c r="E6" s="21">
        <v>0.8</v>
      </c>
    </row>
    <row r="7" spans="1:6" ht="14.5" customHeight="1" x14ac:dyDescent="0.35">
      <c r="A7" s="21">
        <v>30</v>
      </c>
      <c r="B7" s="21">
        <v>0</v>
      </c>
      <c r="C7" s="21">
        <f>A7+(B7/12)</f>
        <v>30</v>
      </c>
      <c r="D7" s="21">
        <v>1.2</v>
      </c>
      <c r="F7" s="21" t="s">
        <v>20</v>
      </c>
    </row>
    <row r="8" spans="1:6" ht="14.5" customHeight="1" x14ac:dyDescent="0.35">
      <c r="A8" s="21">
        <v>35</v>
      </c>
      <c r="B8" s="21">
        <v>2</v>
      </c>
      <c r="C8" s="21">
        <f>A8+(B8/12)</f>
        <v>35.166666666666664</v>
      </c>
      <c r="D8" s="21">
        <v>1</v>
      </c>
      <c r="E8" s="21">
        <v>0.41</v>
      </c>
    </row>
    <row r="9" spans="1:6" ht="14.5" customHeight="1" x14ac:dyDescent="0.35">
      <c r="A9" s="21">
        <v>37</v>
      </c>
      <c r="B9" s="21">
        <v>1</v>
      </c>
      <c r="C9" s="21">
        <f t="shared" si="1"/>
        <v>37.083333333333336</v>
      </c>
      <c r="D9" s="21">
        <v>0.88</v>
      </c>
      <c r="F9" s="21" t="s">
        <v>20</v>
      </c>
    </row>
    <row r="10" spans="1:6" ht="14.5" customHeight="1" x14ac:dyDescent="0.35">
      <c r="A10" s="21">
        <v>41</v>
      </c>
      <c r="B10" s="21">
        <v>4</v>
      </c>
      <c r="C10" s="21">
        <f>A10+(B10/12)</f>
        <v>41.333333333333336</v>
      </c>
      <c r="D10" s="21">
        <v>1.0900000000000001</v>
      </c>
      <c r="E10" s="21">
        <v>0.32</v>
      </c>
    </row>
    <row r="11" spans="1:6" ht="14.5" customHeight="1" x14ac:dyDescent="0.35">
      <c r="A11" s="21">
        <v>43</v>
      </c>
      <c r="B11" s="21">
        <v>5</v>
      </c>
      <c r="C11" s="21">
        <f t="shared" si="1"/>
        <v>43.416666666666664</v>
      </c>
      <c r="D11" s="21">
        <v>0.98</v>
      </c>
      <c r="F11" s="21" t="s">
        <v>20</v>
      </c>
    </row>
    <row r="12" spans="1:6" ht="14.5" customHeight="1" x14ac:dyDescent="0.35">
      <c r="A12" s="21">
        <v>46</v>
      </c>
      <c r="B12" s="21">
        <v>1</v>
      </c>
      <c r="C12" s="21">
        <f t="shared" si="1"/>
        <v>46.083333333333336</v>
      </c>
      <c r="D12" s="21">
        <v>0.9</v>
      </c>
      <c r="E12" s="21">
        <v>0.46</v>
      </c>
    </row>
    <row r="13" spans="1:6" ht="14.5" customHeight="1" x14ac:dyDescent="0.35">
      <c r="A13" s="21">
        <v>48</v>
      </c>
      <c r="B13" s="21">
        <v>0</v>
      </c>
      <c r="C13" s="21">
        <f t="shared" si="1"/>
        <v>48</v>
      </c>
      <c r="D13" s="21">
        <v>0.7</v>
      </c>
      <c r="F13" s="21" t="s">
        <v>20</v>
      </c>
    </row>
    <row r="14" spans="1:6" ht="14.5" customHeight="1" x14ac:dyDescent="0.35">
      <c r="A14" s="21">
        <v>49</v>
      </c>
      <c r="B14" s="21">
        <v>5</v>
      </c>
      <c r="C14" s="21">
        <f t="shared" si="1"/>
        <v>49.416666666666664</v>
      </c>
      <c r="D14" s="21">
        <v>0.75</v>
      </c>
      <c r="E14" s="21">
        <v>0.09</v>
      </c>
    </row>
    <row r="15" spans="1:6" ht="14.5" customHeight="1" x14ac:dyDescent="0.35">
      <c r="A15" s="21">
        <v>52</v>
      </c>
      <c r="B15" s="21">
        <v>0</v>
      </c>
      <c r="C15" s="21">
        <f t="shared" si="1"/>
        <v>52</v>
      </c>
      <c r="D15" s="21">
        <v>0.88</v>
      </c>
      <c r="F15" s="21" t="s">
        <v>20</v>
      </c>
    </row>
    <row r="16" spans="1:6" ht="14.5" customHeight="1" x14ac:dyDescent="0.35">
      <c r="A16" s="21">
        <v>53</v>
      </c>
      <c r="B16" s="21">
        <v>7</v>
      </c>
      <c r="C16" s="21">
        <f t="shared" si="1"/>
        <v>53.583333333333336</v>
      </c>
      <c r="D16" s="21">
        <v>1.04</v>
      </c>
      <c r="E16" s="21">
        <v>0.28999999999999998</v>
      </c>
    </row>
    <row r="17" spans="1:6" ht="14.5" customHeight="1" x14ac:dyDescent="0.35">
      <c r="A17" s="21">
        <v>55</v>
      </c>
      <c r="B17" s="21">
        <v>3</v>
      </c>
      <c r="C17" s="21">
        <f t="shared" si="1"/>
        <v>55.25</v>
      </c>
      <c r="D17" s="21">
        <v>0.98</v>
      </c>
      <c r="F17" s="21" t="s">
        <v>20</v>
      </c>
    </row>
    <row r="18" spans="1:6" ht="14.5" customHeight="1" x14ac:dyDescent="0.35">
      <c r="A18" s="21">
        <v>55</v>
      </c>
      <c r="B18" s="21">
        <v>6</v>
      </c>
      <c r="C18" s="21">
        <f>A18+(B18/12)</f>
        <v>55.5</v>
      </c>
      <c r="D18" s="21">
        <v>0.98</v>
      </c>
      <c r="E18" s="21">
        <v>0.13</v>
      </c>
    </row>
    <row r="19" spans="1:6" ht="14.5" customHeight="1" x14ac:dyDescent="0.35">
      <c r="A19" s="21">
        <v>55</v>
      </c>
      <c r="B19" s="21">
        <v>9</v>
      </c>
      <c r="C19" s="21">
        <f t="shared" si="1"/>
        <v>55.75</v>
      </c>
      <c r="F19" s="21" t="s">
        <v>21</v>
      </c>
    </row>
    <row r="20" spans="1:6" ht="14.5" customHeight="1" x14ac:dyDescent="0.35">
      <c r="A20" s="21">
        <v>57</v>
      </c>
      <c r="B20" s="21">
        <v>0</v>
      </c>
      <c r="C20" s="21">
        <f t="shared" si="1"/>
        <v>57</v>
      </c>
      <c r="D20" s="21">
        <v>0.45</v>
      </c>
      <c r="F20" s="21" t="s">
        <v>22</v>
      </c>
    </row>
    <row r="21" spans="1:6" ht="14.5" customHeight="1" x14ac:dyDescent="0.35">
      <c r="A21" s="21">
        <v>57</v>
      </c>
      <c r="B21" s="21">
        <v>5</v>
      </c>
      <c r="C21" s="21">
        <f t="shared" ref="C21:C23" si="2">A21+(B21/12)</f>
        <v>57.416666666666664</v>
      </c>
      <c r="D21" s="21">
        <v>0.77</v>
      </c>
      <c r="F21" s="21" t="s">
        <v>23</v>
      </c>
    </row>
    <row r="22" spans="1:6" ht="14.5" customHeight="1" x14ac:dyDescent="0.35">
      <c r="A22" s="21">
        <v>61</v>
      </c>
      <c r="B22" s="21">
        <v>0</v>
      </c>
      <c r="C22" s="21">
        <f t="shared" si="2"/>
        <v>61</v>
      </c>
      <c r="D22" s="21">
        <v>0.1</v>
      </c>
      <c r="F22" s="21" t="s">
        <v>20</v>
      </c>
    </row>
    <row r="23" spans="1:6" ht="14.5" customHeight="1" x14ac:dyDescent="0.35">
      <c r="A23" s="21">
        <v>61</v>
      </c>
      <c r="B23" s="21">
        <v>10</v>
      </c>
      <c r="C23" s="21">
        <f t="shared" si="2"/>
        <v>61.833333333333336</v>
      </c>
      <c r="F23" s="21" t="s">
        <v>17</v>
      </c>
    </row>
    <row r="36" spans="1:1" ht="14.5" customHeight="1" x14ac:dyDescent="0.35">
      <c r="A36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35"/>
  <sheetViews>
    <sheetView workbookViewId="0">
      <selection activeCell="H9" sqref="H9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4</v>
      </c>
      <c r="F1" s="21" t="s">
        <v>24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23</v>
      </c>
      <c r="B3" s="21">
        <v>6</v>
      </c>
      <c r="C3" s="21">
        <f t="shared" ref="C3" si="0">A3+(B3/12)</f>
        <v>23.5</v>
      </c>
      <c r="D3" s="21">
        <v>1.2</v>
      </c>
      <c r="E3" s="21">
        <v>0.06</v>
      </c>
    </row>
    <row r="4" spans="1:6" ht="14.5" customHeight="1" x14ac:dyDescent="0.35">
      <c r="A4" s="21">
        <v>25</v>
      </c>
      <c r="B4" s="21">
        <v>0</v>
      </c>
      <c r="C4" s="21">
        <f>A4+(B4/12)</f>
        <v>25</v>
      </c>
      <c r="D4" s="21">
        <v>1.3</v>
      </c>
      <c r="E4" s="21">
        <v>0.18</v>
      </c>
    </row>
    <row r="5" spans="1:6" ht="14.5" customHeight="1" x14ac:dyDescent="0.35">
      <c r="A5" s="21">
        <v>27</v>
      </c>
      <c r="B5" s="21">
        <v>3.5</v>
      </c>
      <c r="C5" s="21">
        <f t="shared" ref="C5:C13" si="1">A5+(B5/12)</f>
        <v>27.291666666666668</v>
      </c>
      <c r="D5" s="21">
        <v>1.6</v>
      </c>
      <c r="E5" s="21">
        <v>0.82</v>
      </c>
    </row>
    <row r="6" spans="1:6" ht="14.5" customHeight="1" x14ac:dyDescent="0.35">
      <c r="A6" s="21">
        <v>30</v>
      </c>
      <c r="B6" s="21">
        <v>1</v>
      </c>
      <c r="C6" s="21">
        <f t="shared" si="1"/>
        <v>30.083333333333332</v>
      </c>
      <c r="D6" s="21">
        <v>1.4</v>
      </c>
      <c r="E6" s="21">
        <v>1.08</v>
      </c>
    </row>
    <row r="7" spans="1:6" ht="14.5" customHeight="1" x14ac:dyDescent="0.35">
      <c r="A7" s="21">
        <v>34</v>
      </c>
      <c r="B7" s="21">
        <v>6</v>
      </c>
      <c r="C7" s="21">
        <f>A7+(B7/12)</f>
        <v>34.5</v>
      </c>
      <c r="D7" s="21">
        <v>1.38</v>
      </c>
      <c r="E7" s="21">
        <v>0.57999999999999996</v>
      </c>
      <c r="F7" s="19" t="s">
        <v>25</v>
      </c>
    </row>
    <row r="8" spans="1:6" ht="14.5" customHeight="1" x14ac:dyDescent="0.35">
      <c r="A8" s="21">
        <v>40</v>
      </c>
      <c r="B8" s="21">
        <v>0</v>
      </c>
      <c r="C8" s="21">
        <f>A8+(B8/12)</f>
        <v>40</v>
      </c>
      <c r="D8" s="21">
        <v>1.2</v>
      </c>
      <c r="E8" s="21">
        <v>0.7</v>
      </c>
    </row>
    <row r="9" spans="1:6" ht="14.5" customHeight="1" x14ac:dyDescent="0.35">
      <c r="A9" s="21">
        <v>44</v>
      </c>
      <c r="B9" s="21">
        <v>0</v>
      </c>
      <c r="C9" s="21">
        <f t="shared" si="1"/>
        <v>44</v>
      </c>
      <c r="D9" s="21">
        <v>1</v>
      </c>
      <c r="E9" s="21">
        <v>0.67</v>
      </c>
    </row>
    <row r="10" spans="1:6" ht="14.5" customHeight="1" x14ac:dyDescent="0.35">
      <c r="A10" s="21">
        <v>53</v>
      </c>
      <c r="B10" s="21">
        <v>0</v>
      </c>
      <c r="C10" s="21">
        <f>A10+(B10/12)</f>
        <v>53</v>
      </c>
      <c r="D10" s="21">
        <v>1.1000000000000001</v>
      </c>
      <c r="E10" s="21">
        <v>0.22</v>
      </c>
    </row>
    <row r="11" spans="1:6" ht="14.5" customHeight="1" x14ac:dyDescent="0.35">
      <c r="A11" s="21">
        <v>55</v>
      </c>
      <c r="B11" s="21">
        <v>9</v>
      </c>
      <c r="C11" s="21">
        <f t="shared" si="1"/>
        <v>55.75</v>
      </c>
      <c r="D11" s="21">
        <v>1.3</v>
      </c>
      <c r="E11" s="21">
        <v>0</v>
      </c>
    </row>
    <row r="12" spans="1:6" ht="14.5" customHeight="1" x14ac:dyDescent="0.35">
      <c r="A12" s="21">
        <v>61</v>
      </c>
      <c r="B12" s="21">
        <v>0</v>
      </c>
      <c r="C12" s="21">
        <f t="shared" si="1"/>
        <v>61</v>
      </c>
      <c r="D12" s="21">
        <v>0.4</v>
      </c>
      <c r="E12" s="21">
        <v>0</v>
      </c>
    </row>
    <row r="13" spans="1:6" ht="14.5" customHeight="1" x14ac:dyDescent="0.35">
      <c r="A13" s="21">
        <v>62</v>
      </c>
      <c r="B13" s="21">
        <v>0</v>
      </c>
      <c r="C13" s="21">
        <f t="shared" si="1"/>
        <v>62</v>
      </c>
      <c r="F13" s="21" t="s">
        <v>17</v>
      </c>
    </row>
    <row r="35" spans="1:1" ht="14.5" customHeight="1" x14ac:dyDescent="0.35">
      <c r="A35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215"/>
  <sheetViews>
    <sheetView topLeftCell="A154" zoomScale="125" zoomScaleNormal="125" workbookViewId="0">
      <selection activeCell="D172" sqref="D172"/>
    </sheetView>
  </sheetViews>
  <sheetFormatPr defaultColWidth="8.7265625" defaultRowHeight="14.5" customHeight="1" x14ac:dyDescent="0.35"/>
  <cols>
    <col min="1" max="1" width="24.6328125" style="21" customWidth="1"/>
    <col min="2" max="6" width="8.7265625" style="21"/>
    <col min="7" max="7" width="7.81640625" style="21" customWidth="1"/>
    <col min="8" max="16384" width="8.7265625" style="21"/>
  </cols>
  <sheetData>
    <row r="1" spans="1:40" ht="14.5" customHeight="1" x14ac:dyDescent="0.35">
      <c r="A1" s="12"/>
      <c r="B1" s="13" t="s">
        <v>45</v>
      </c>
      <c r="C1" s="13" t="s">
        <v>9</v>
      </c>
      <c r="D1" s="14" t="s">
        <v>46</v>
      </c>
      <c r="E1" s="13" t="s">
        <v>2</v>
      </c>
      <c r="F1" s="13" t="s">
        <v>5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56</v>
      </c>
      <c r="P1" s="19" t="s">
        <v>61</v>
      </c>
      <c r="Q1" s="12" t="s">
        <v>60</v>
      </c>
      <c r="R1" s="12" t="s">
        <v>66</v>
      </c>
      <c r="S1" s="12" t="s">
        <v>64</v>
      </c>
      <c r="T1" s="12" t="s">
        <v>65</v>
      </c>
      <c r="U1" s="12" t="s">
        <v>113</v>
      </c>
      <c r="V1" s="12" t="s">
        <v>73</v>
      </c>
      <c r="W1" s="12" t="s">
        <v>74</v>
      </c>
      <c r="X1" s="12" t="s">
        <v>75</v>
      </c>
      <c r="Y1" s="12" t="s">
        <v>114</v>
      </c>
      <c r="Z1" s="12" t="s">
        <v>76</v>
      </c>
      <c r="AA1" s="12" t="s">
        <v>77</v>
      </c>
      <c r="AB1" s="12" t="s">
        <v>78</v>
      </c>
      <c r="AC1" s="12" t="s">
        <v>115</v>
      </c>
      <c r="AD1" s="12" t="s">
        <v>79</v>
      </c>
      <c r="AE1" s="12" t="s">
        <v>80</v>
      </c>
      <c r="AF1" s="12" t="s">
        <v>81</v>
      </c>
      <c r="AG1" s="12" t="s">
        <v>116</v>
      </c>
      <c r="AH1" s="12"/>
      <c r="AI1" s="12" t="s">
        <v>93</v>
      </c>
      <c r="AJ1" s="12" t="s">
        <v>60</v>
      </c>
      <c r="AK1" s="12" t="s">
        <v>89</v>
      </c>
      <c r="AL1" s="12" t="s">
        <v>90</v>
      </c>
      <c r="AM1" s="12" t="s">
        <v>91</v>
      </c>
      <c r="AN1" s="12" t="s">
        <v>92</v>
      </c>
    </row>
    <row r="2" spans="1:40" ht="14.5" customHeight="1" x14ac:dyDescent="0.35">
      <c r="A2" s="21" t="s">
        <v>117</v>
      </c>
      <c r="B2" s="21">
        <v>2</v>
      </c>
      <c r="C2" s="21">
        <v>5</v>
      </c>
      <c r="D2" s="21">
        <f t="shared" ref="D2:D4" si="0">B2+(C2/12)</f>
        <v>2.4166666666666665</v>
      </c>
      <c r="E2" s="21">
        <v>4.24</v>
      </c>
      <c r="F2" s="20">
        <v>1</v>
      </c>
      <c r="G2" s="20"/>
      <c r="H2" s="20"/>
      <c r="I2" s="20"/>
      <c r="J2" s="20"/>
      <c r="K2" s="20"/>
      <c r="L2" s="20"/>
      <c r="M2" s="20"/>
      <c r="N2" s="20"/>
      <c r="O2" s="20">
        <f>SUM(F2:N2)</f>
        <v>1</v>
      </c>
      <c r="P2" s="20">
        <f>D2</f>
        <v>2.4166666666666665</v>
      </c>
      <c r="Q2" s="12">
        <f>$B$58-E2</f>
        <v>144.21981059999999</v>
      </c>
      <c r="AG2" s="12"/>
      <c r="AI2" s="21">
        <f>P2</f>
        <v>2.4166666666666665</v>
      </c>
      <c r="AJ2" s="21">
        <f>Q2</f>
        <v>144.21981059999999</v>
      </c>
    </row>
    <row r="3" spans="1:40" ht="14.5" customHeight="1" x14ac:dyDescent="0.35">
      <c r="A3" s="21" t="s">
        <v>125</v>
      </c>
      <c r="B3" s="21">
        <v>4</v>
      </c>
      <c r="C3" s="21">
        <v>9</v>
      </c>
      <c r="D3" s="21">
        <f t="shared" si="0"/>
        <v>4.75</v>
      </c>
      <c r="E3" s="21">
        <v>4.5199999999999996</v>
      </c>
      <c r="F3" s="20">
        <v>1</v>
      </c>
      <c r="G3" s="20"/>
      <c r="H3" s="20"/>
      <c r="I3" s="20"/>
      <c r="J3" s="20"/>
      <c r="K3" s="20"/>
      <c r="L3" s="20"/>
      <c r="M3" s="20"/>
      <c r="N3" s="20"/>
      <c r="O3" s="20">
        <f t="shared" ref="O3:O54" si="1">SUM(F3:N3)</f>
        <v>1</v>
      </c>
      <c r="P3" s="20">
        <f t="shared" ref="P3:P54" si="2">D3</f>
        <v>4.75</v>
      </c>
      <c r="Q3" s="12">
        <f>$B$58-E3</f>
        <v>143.93981059999999</v>
      </c>
      <c r="U3" s="12"/>
      <c r="AD3" s="21">
        <v>0.2</v>
      </c>
      <c r="AE3" s="21">
        <v>0.03</v>
      </c>
      <c r="AF3" s="21">
        <f>$Q3+AD3</f>
        <v>144.13981059999998</v>
      </c>
      <c r="AG3" s="12">
        <f t="shared" ref="AG3:AG34" si="3">(T2F4_Flat_Level-$Q3)*(($P4-$P2)/2)</f>
        <v>-2.5039574999965456E-2</v>
      </c>
      <c r="AI3" s="21">
        <f t="shared" ref="AI3:AI54" si="4">P3</f>
        <v>4.75</v>
      </c>
      <c r="AJ3" s="21">
        <f t="shared" ref="AJ3:AJ54" si="5">Q3</f>
        <v>143.93981059999999</v>
      </c>
      <c r="AL3" s="21">
        <f t="shared" ref="AL3:AL15" si="6">T2F2_Flat_Level</f>
        <v>143.67230000000001</v>
      </c>
      <c r="AM3" s="21">
        <f t="shared" ref="AM3:AM15" si="7">T2F3_Flat_Level</f>
        <v>143.7765</v>
      </c>
      <c r="AN3" s="21">
        <f t="shared" ref="AN3:AN15" si="8">T2F4_Flat_Level</f>
        <v>143.92160000000001</v>
      </c>
    </row>
    <row r="4" spans="1:40" ht="14.5" customHeight="1" x14ac:dyDescent="0.35">
      <c r="A4" s="21" t="s">
        <v>83</v>
      </c>
      <c r="B4" s="21">
        <v>5</v>
      </c>
      <c r="C4" s="21">
        <v>2</v>
      </c>
      <c r="D4" s="21">
        <f t="shared" si="0"/>
        <v>5.166666666666667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t="shared" si="2"/>
        <v>5.166666666666667</v>
      </c>
      <c r="Q4" s="12">
        <f>Q3+((Q5-Q3)*(($D4-$D3)/($D5-$D3)))</f>
        <v>143.5773106</v>
      </c>
      <c r="T4" s="21">
        <v>143.64010471764706</v>
      </c>
      <c r="U4" s="12">
        <f t="shared" ref="U4:U15" si="9">(T2F1_Flat_Level-$Q4)*(($P5-$P3)/2)</f>
        <v>-3.7436866666666915E-2</v>
      </c>
      <c r="Z4" s="21">
        <v>0.2</v>
      </c>
      <c r="AB4" s="21">
        <f>$Q4+Z4</f>
        <v>143.77731059999999</v>
      </c>
      <c r="AC4" s="12">
        <f t="shared" ref="AC4:AC26" si="10">(T2F3_Flat_Level-$Q4)*(($P5-$P3)/2)</f>
        <v>6.6396466666664863E-2</v>
      </c>
      <c r="AF4" s="12">
        <f>AF3+((AF5-AF3)*(($D4-$D3)/($D5-$D3)))</f>
        <v>144.18981059999999</v>
      </c>
      <c r="AG4" s="12">
        <f t="shared" si="3"/>
        <v>0.11476313333333607</v>
      </c>
      <c r="AI4" s="21">
        <f t="shared" si="4"/>
        <v>5.166666666666667</v>
      </c>
      <c r="AJ4" s="21">
        <f t="shared" si="5"/>
        <v>143.5773106</v>
      </c>
      <c r="AK4" s="21">
        <f t="shared" ref="AK4:AK15" si="11">T2F1_Flat_Level</f>
        <v>143.465</v>
      </c>
      <c r="AL4" s="21">
        <f t="shared" si="6"/>
        <v>143.67230000000001</v>
      </c>
      <c r="AM4" s="21">
        <f t="shared" si="7"/>
        <v>143.7765</v>
      </c>
      <c r="AN4" s="21">
        <f t="shared" si="8"/>
        <v>143.92160000000001</v>
      </c>
    </row>
    <row r="5" spans="1:40" ht="14.5" customHeight="1" x14ac:dyDescent="0.35">
      <c r="A5" s="21" t="s">
        <v>126</v>
      </c>
      <c r="B5" s="21">
        <v>5</v>
      </c>
      <c r="C5" s="21">
        <v>5</v>
      </c>
      <c r="D5" s="21">
        <f t="shared" ref="D5:D10" si="12">B5+(C5/12)</f>
        <v>5.416666666666667</v>
      </c>
      <c r="E5" s="21">
        <v>5.0999999999999996</v>
      </c>
      <c r="F5" s="20"/>
      <c r="G5" s="20">
        <v>0.5</v>
      </c>
      <c r="H5" s="20">
        <v>0.4</v>
      </c>
      <c r="I5" s="20">
        <v>0.1</v>
      </c>
      <c r="J5" s="20"/>
      <c r="K5" s="20"/>
      <c r="L5" s="20"/>
      <c r="M5" s="20"/>
      <c r="N5" s="20"/>
      <c r="O5" s="20">
        <f t="shared" si="1"/>
        <v>1</v>
      </c>
      <c r="P5" s="20">
        <f t="shared" si="2"/>
        <v>5.416666666666667</v>
      </c>
      <c r="Q5" s="12">
        <f>$B$58-E5</f>
        <v>143.3598106</v>
      </c>
      <c r="T5" s="21">
        <v>143.64010471764706</v>
      </c>
      <c r="U5" s="12">
        <f t="shared" si="9"/>
        <v>2.1914458333333393E-2</v>
      </c>
      <c r="V5" s="21">
        <v>0.4</v>
      </c>
      <c r="AB5" s="12">
        <f>AB4+((AB6-AB4)*(($D5-$D4)/($D6-$D4)))</f>
        <v>143.9309282470588</v>
      </c>
      <c r="AC5" s="12">
        <f t="shared" si="10"/>
        <v>8.6810291666665637E-2</v>
      </c>
      <c r="AD5" s="21">
        <v>0.86</v>
      </c>
      <c r="AE5" s="21">
        <v>0.46</v>
      </c>
      <c r="AF5" s="21">
        <f>$Q5+AD5</f>
        <v>144.21981060000002</v>
      </c>
      <c r="AG5" s="12">
        <f t="shared" si="3"/>
        <v>0.11703945833333508</v>
      </c>
      <c r="AI5" s="21">
        <f t="shared" si="4"/>
        <v>5.416666666666667</v>
      </c>
      <c r="AJ5" s="21">
        <f t="shared" si="5"/>
        <v>143.3598106</v>
      </c>
      <c r="AK5" s="21">
        <f t="shared" si="11"/>
        <v>143.465</v>
      </c>
      <c r="AL5" s="21">
        <f t="shared" si="6"/>
        <v>143.67230000000001</v>
      </c>
      <c r="AM5" s="21">
        <f t="shared" si="7"/>
        <v>143.7765</v>
      </c>
      <c r="AN5" s="21">
        <f t="shared" si="8"/>
        <v>143.92160000000001</v>
      </c>
    </row>
    <row r="6" spans="1:40" ht="14.5" customHeight="1" x14ac:dyDescent="0.35">
      <c r="A6" s="21" t="s">
        <v>83</v>
      </c>
      <c r="B6" s="21">
        <v>5</v>
      </c>
      <c r="C6" s="21">
        <v>7</v>
      </c>
      <c r="D6" s="21">
        <f t="shared" si="12"/>
        <v>5.583333333333333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>
        <f t="shared" si="2"/>
        <v>5.583333333333333</v>
      </c>
      <c r="Q6" s="12">
        <f>Q5+((Q11-Q5)*(($D6-$D5)/($D11-$D5)))</f>
        <v>143.3333400117647</v>
      </c>
      <c r="T6" s="21">
        <v>143.64010471764706</v>
      </c>
      <c r="U6" s="12">
        <f t="shared" si="9"/>
        <v>1.6457498529412362E-2</v>
      </c>
      <c r="Z6" s="21">
        <v>0.7</v>
      </c>
      <c r="AB6" s="21">
        <f>$Q6+Z6</f>
        <v>144.03334001176469</v>
      </c>
      <c r="AC6" s="12">
        <f t="shared" si="10"/>
        <v>5.5394998529411765E-2</v>
      </c>
      <c r="AF6" s="12">
        <f>AF5+((AF9-AF5)*(($D6-$D5)/($D9-$D5)))</f>
        <v>144.18800667843138</v>
      </c>
      <c r="AG6" s="12">
        <f t="shared" si="3"/>
        <v>7.3532498529413459E-2</v>
      </c>
      <c r="AI6" s="21">
        <f t="shared" si="4"/>
        <v>5.583333333333333</v>
      </c>
      <c r="AJ6" s="21">
        <f t="shared" si="5"/>
        <v>143.3333400117647</v>
      </c>
      <c r="AK6" s="21">
        <f t="shared" si="11"/>
        <v>143.465</v>
      </c>
      <c r="AL6" s="21">
        <f t="shared" si="6"/>
        <v>143.67230000000001</v>
      </c>
      <c r="AM6" s="21">
        <f t="shared" si="7"/>
        <v>143.7765</v>
      </c>
      <c r="AN6" s="21">
        <f t="shared" si="8"/>
        <v>143.92160000000001</v>
      </c>
    </row>
    <row r="7" spans="1:40" ht="14.5" customHeight="1" x14ac:dyDescent="0.35">
      <c r="A7" s="21" t="s">
        <v>82</v>
      </c>
      <c r="B7" s="21">
        <v>5</v>
      </c>
      <c r="C7" s="21">
        <v>8</v>
      </c>
      <c r="D7" s="21">
        <f t="shared" si="12"/>
        <v>5.666666666666667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>
        <f t="shared" si="2"/>
        <v>5.666666666666667</v>
      </c>
      <c r="Q7" s="12">
        <f>Q5+((Q11-Q5)*(($D7-$D5)/($D11-$D5)))</f>
        <v>143.32010471764707</v>
      </c>
      <c r="R7" s="21">
        <v>0.32</v>
      </c>
      <c r="S7" s="21">
        <v>0.1</v>
      </c>
      <c r="T7" s="21">
        <f>$Q7+R7</f>
        <v>143.64010471764706</v>
      </c>
      <c r="U7" s="12">
        <f t="shared" si="9"/>
        <v>3.622382058823348E-2</v>
      </c>
      <c r="V7" s="21">
        <v>0.5</v>
      </c>
      <c r="W7" s="21">
        <v>-0.06</v>
      </c>
      <c r="X7" s="21">
        <f>$Q7+V7</f>
        <v>143.82010471764707</v>
      </c>
      <c r="Y7" s="12">
        <f t="shared" ref="Y7:Y15" si="13">(T2F2_Flat_Level-$Q7)*(($P8-$P6)/2)</f>
        <v>8.8048820588234378E-2</v>
      </c>
      <c r="AB7" s="12">
        <f>AB6+((AB8-AB6)*(($D7-$D6)/($D8-$D6)))</f>
        <v>144.02010471764703</v>
      </c>
      <c r="AC7" s="12">
        <f t="shared" si="10"/>
        <v>0.11409882058823229</v>
      </c>
      <c r="AF7" s="12">
        <f>AF5+((AF9-AF5)*(($D7-$D5)/($D9-$D5)))</f>
        <v>144.17210471764707</v>
      </c>
      <c r="AG7" s="12">
        <f t="shared" si="3"/>
        <v>0.15037382058823567</v>
      </c>
      <c r="AI7" s="21">
        <f t="shared" si="4"/>
        <v>5.666666666666667</v>
      </c>
      <c r="AJ7" s="21">
        <f t="shared" si="5"/>
        <v>143.32010471764707</v>
      </c>
      <c r="AK7" s="21">
        <f t="shared" si="11"/>
        <v>143.465</v>
      </c>
      <c r="AL7" s="21">
        <f t="shared" si="6"/>
        <v>143.67230000000001</v>
      </c>
      <c r="AM7" s="21">
        <f t="shared" si="7"/>
        <v>143.7765</v>
      </c>
      <c r="AN7" s="21">
        <f t="shared" si="8"/>
        <v>143.92160000000001</v>
      </c>
    </row>
    <row r="8" spans="1:40" ht="14.5" customHeight="1" x14ac:dyDescent="0.35">
      <c r="A8" s="21" t="s">
        <v>83</v>
      </c>
      <c r="B8" s="21">
        <v>6</v>
      </c>
      <c r="C8" s="21">
        <v>1</v>
      </c>
      <c r="D8" s="21">
        <f t="shared" si="12"/>
        <v>6.083333333333333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>
        <f t="shared" si="2"/>
        <v>6.083333333333333</v>
      </c>
      <c r="Q8" s="12">
        <f>Q5+((Q11-Q5)*(($D8-$D5)/($D11-$D5)))</f>
        <v>143.25392824705881</v>
      </c>
      <c r="T8" s="12">
        <f>T7+((T9-T7)*(($D8-$D7)/($D9-$D7)))</f>
        <v>143.59059491372548</v>
      </c>
      <c r="U8" s="12">
        <f t="shared" si="9"/>
        <v>0.10553587647059715</v>
      </c>
      <c r="X8" s="12">
        <f>X7+((X9-X7)*(($D8-$D7)/($D9-$D7)))</f>
        <v>143.76642824705883</v>
      </c>
      <c r="Y8" s="12">
        <f t="shared" si="13"/>
        <v>0.20918587647059894</v>
      </c>
      <c r="Z8" s="21">
        <v>0.7</v>
      </c>
      <c r="AA8" s="21">
        <v>0.85</v>
      </c>
      <c r="AB8" s="21">
        <f>$Q8+Z8</f>
        <v>143.9539282470588</v>
      </c>
      <c r="AC8" s="12">
        <f t="shared" si="10"/>
        <v>0.26128587647059476</v>
      </c>
      <c r="AF8" s="12">
        <f>AF5+((AF9-AF5)*(($D8-$D5)/($D9-$D5)))</f>
        <v>144.09259491372549</v>
      </c>
      <c r="AG8" s="12">
        <f t="shared" si="3"/>
        <v>0.33383587647060153</v>
      </c>
      <c r="AI8" s="21">
        <f t="shared" si="4"/>
        <v>6.083333333333333</v>
      </c>
      <c r="AJ8" s="21">
        <f t="shared" si="5"/>
        <v>143.25392824705881</v>
      </c>
      <c r="AK8" s="21">
        <f t="shared" si="11"/>
        <v>143.465</v>
      </c>
      <c r="AL8" s="21">
        <f t="shared" si="6"/>
        <v>143.67230000000001</v>
      </c>
      <c r="AM8" s="21">
        <f t="shared" si="7"/>
        <v>143.7765</v>
      </c>
      <c r="AN8" s="21">
        <f t="shared" si="8"/>
        <v>143.92160000000001</v>
      </c>
    </row>
    <row r="9" spans="1:40" ht="14.5" customHeight="1" x14ac:dyDescent="0.35">
      <c r="A9" s="21" t="s">
        <v>85</v>
      </c>
      <c r="B9" s="21">
        <v>6</v>
      </c>
      <c r="C9" s="21">
        <v>8</v>
      </c>
      <c r="D9" s="21">
        <f t="shared" si="12"/>
        <v>6.666666666666667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f t="shared" si="2"/>
        <v>6.666666666666667</v>
      </c>
      <c r="Q9" s="12">
        <f>Q5+((Q11-Q5)*(($D9-$D5)/($D11-$D5)))</f>
        <v>143.16128118823528</v>
      </c>
      <c r="R9" s="21">
        <v>0.36</v>
      </c>
      <c r="S9" s="21">
        <v>0.63</v>
      </c>
      <c r="T9" s="21">
        <f>$Q9+R9</f>
        <v>143.52128118823529</v>
      </c>
      <c r="U9" s="12">
        <f t="shared" si="9"/>
        <v>0.10123960392157495</v>
      </c>
      <c r="V9" s="21">
        <v>0.53</v>
      </c>
      <c r="W9" s="21">
        <v>0.79</v>
      </c>
      <c r="X9" s="21">
        <f>$Q9+V9</f>
        <v>143.69128118823528</v>
      </c>
      <c r="Y9" s="12">
        <f t="shared" si="13"/>
        <v>0.17033960392157618</v>
      </c>
      <c r="AB9" s="12">
        <f>AB8+((AB10-AB8)*(($D9-$D8)/($D10-$D8)))</f>
        <v>143.91378118823528</v>
      </c>
      <c r="AC9" s="12">
        <f t="shared" si="10"/>
        <v>0.20507293725490675</v>
      </c>
      <c r="AD9" s="21">
        <v>0.82</v>
      </c>
      <c r="AE9" s="21">
        <v>1.18</v>
      </c>
      <c r="AF9" s="21">
        <f>$Q9+AD9</f>
        <v>143.98128118823527</v>
      </c>
      <c r="AG9" s="12">
        <f t="shared" si="3"/>
        <v>0.25343960392157794</v>
      </c>
      <c r="AI9" s="21">
        <f t="shared" si="4"/>
        <v>6.666666666666667</v>
      </c>
      <c r="AJ9" s="21">
        <f t="shared" si="5"/>
        <v>143.16128118823528</v>
      </c>
      <c r="AK9" s="21">
        <f t="shared" si="11"/>
        <v>143.465</v>
      </c>
      <c r="AL9" s="21">
        <f t="shared" si="6"/>
        <v>143.67230000000001</v>
      </c>
      <c r="AM9" s="21">
        <f t="shared" si="7"/>
        <v>143.7765</v>
      </c>
      <c r="AN9" s="21">
        <f t="shared" si="8"/>
        <v>143.92160000000001</v>
      </c>
    </row>
    <row r="10" spans="1:40" ht="14.5" customHeight="1" x14ac:dyDescent="0.35">
      <c r="A10" s="21" t="s">
        <v>83</v>
      </c>
      <c r="B10" s="21">
        <v>6</v>
      </c>
      <c r="C10" s="21">
        <v>9</v>
      </c>
      <c r="D10" s="21">
        <f t="shared" si="12"/>
        <v>6.75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f t="shared" si="2"/>
        <v>6.75</v>
      </c>
      <c r="Q10" s="12">
        <f>Q5+((Q11-Q5)*(($D10-$D5)/($D11-$D5)))</f>
        <v>143.14804589411764</v>
      </c>
      <c r="T10" s="12">
        <f>T9+((T13-T9)*(($D10-$D9)/($D13-$D9)))</f>
        <v>143.52893543096687</v>
      </c>
      <c r="U10" s="12">
        <f t="shared" si="9"/>
        <v>0.25092200049020141</v>
      </c>
      <c r="X10" s="12">
        <f>X9+((X13-X9)*(($D10-$D9)/($D13-$D9)))</f>
        <v>143.69851876430019</v>
      </c>
      <c r="Y10" s="12">
        <f t="shared" si="13"/>
        <v>0.41503450049020424</v>
      </c>
      <c r="Z10" s="21">
        <v>0.76</v>
      </c>
      <c r="AB10" s="21">
        <f>$Q10+Z10</f>
        <v>143.90804589411763</v>
      </c>
      <c r="AC10" s="12">
        <f t="shared" si="10"/>
        <v>0.49752616715686426</v>
      </c>
      <c r="AF10" s="12">
        <f>AF9+((AF13-AF9)*(($D10-$D9)/($D13-$D9)))</f>
        <v>143.99518543096684</v>
      </c>
      <c r="AG10" s="12">
        <f t="shared" si="3"/>
        <v>0.61239700049020829</v>
      </c>
      <c r="AI10" s="21">
        <f t="shared" si="4"/>
        <v>6.75</v>
      </c>
      <c r="AJ10" s="21">
        <f t="shared" si="5"/>
        <v>143.14804589411764</v>
      </c>
      <c r="AK10" s="21">
        <f t="shared" si="11"/>
        <v>143.465</v>
      </c>
      <c r="AL10" s="21">
        <f t="shared" si="6"/>
        <v>143.67230000000001</v>
      </c>
      <c r="AM10" s="21">
        <f t="shared" si="7"/>
        <v>143.7765</v>
      </c>
      <c r="AN10" s="21">
        <f t="shared" si="8"/>
        <v>143.92160000000001</v>
      </c>
    </row>
    <row r="11" spans="1:40" ht="14.5" customHeight="1" x14ac:dyDescent="0.35">
      <c r="A11" s="21" t="s">
        <v>67</v>
      </c>
      <c r="B11" s="21">
        <v>8</v>
      </c>
      <c r="C11" s="21">
        <v>3</v>
      </c>
      <c r="D11" s="21">
        <f t="shared" ref="D11:D54" si="14">B11+(C11/12)</f>
        <v>8.25</v>
      </c>
      <c r="E11" s="21">
        <v>5.55</v>
      </c>
      <c r="F11" s="20"/>
      <c r="G11" s="20">
        <v>0.4</v>
      </c>
      <c r="H11" s="20">
        <v>0.3</v>
      </c>
      <c r="I11" s="20">
        <v>0.3</v>
      </c>
      <c r="J11" s="20"/>
      <c r="K11" s="20"/>
      <c r="L11" s="20"/>
      <c r="M11" s="20"/>
      <c r="N11" s="20"/>
      <c r="O11" s="20">
        <f t="shared" si="1"/>
        <v>1</v>
      </c>
      <c r="P11" s="20">
        <f t="shared" si="2"/>
        <v>8.25</v>
      </c>
      <c r="Q11" s="12">
        <f>$B$58-E11</f>
        <v>142.90981059999999</v>
      </c>
      <c r="T11" s="12">
        <f>T9+((T13-T9)*(($D11-$D9)/($D13-$D9)))</f>
        <v>143.66671180013523</v>
      </c>
      <c r="U11" s="12">
        <f t="shared" si="9"/>
        <v>0.46265783333334776</v>
      </c>
      <c r="X11" s="12">
        <f>X9+((X13-X9)*(($D11-$D9)/($D13-$D9)))</f>
        <v>143.82879513346856</v>
      </c>
      <c r="Y11" s="12">
        <f t="shared" si="13"/>
        <v>0.63540783333335071</v>
      </c>
      <c r="AB11" s="12">
        <f>AB10+((AB12-AB10)*(($D11-$D10)/($D12-$D10)))</f>
        <v>144.01949619837725</v>
      </c>
      <c r="AC11" s="12">
        <f t="shared" si="10"/>
        <v>0.72224116666667704</v>
      </c>
      <c r="AF11" s="12">
        <f>AF9+((AF13-AF9)*(($D11-$D9)/($D13-$D9)))</f>
        <v>144.24546180013522</v>
      </c>
      <c r="AG11" s="12">
        <f t="shared" si="3"/>
        <v>0.84315783333335492</v>
      </c>
      <c r="AI11" s="21">
        <f t="shared" si="4"/>
        <v>8.25</v>
      </c>
      <c r="AJ11" s="21">
        <f t="shared" si="5"/>
        <v>142.90981059999999</v>
      </c>
      <c r="AK11" s="21">
        <f t="shared" si="11"/>
        <v>143.465</v>
      </c>
      <c r="AL11" s="21">
        <f t="shared" si="6"/>
        <v>143.67230000000001</v>
      </c>
      <c r="AM11" s="21">
        <f t="shared" si="7"/>
        <v>143.7765</v>
      </c>
      <c r="AN11" s="21">
        <f t="shared" si="8"/>
        <v>143.92160000000001</v>
      </c>
    </row>
    <row r="12" spans="1:40" ht="14.5" customHeight="1" x14ac:dyDescent="0.35">
      <c r="A12" s="21" t="s">
        <v>83</v>
      </c>
      <c r="B12" s="21">
        <v>8</v>
      </c>
      <c r="C12" s="21">
        <v>5</v>
      </c>
      <c r="D12" s="21">
        <f t="shared" si="14"/>
        <v>8.4166666666666661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 t="shared" si="2"/>
        <v>8.4166666666666661</v>
      </c>
      <c r="Q12" s="12">
        <f>Q11+((Q14-Q11)*(($D12-$D11)/($D14-$D11)))</f>
        <v>142.93187956551722</v>
      </c>
      <c r="T12" s="12">
        <f>T9+((T13-T9)*(($D12-$D9)/($D13-$D9)))</f>
        <v>143.68202028559838</v>
      </c>
      <c r="U12" s="12">
        <f t="shared" si="9"/>
        <v>0.11106675718391286</v>
      </c>
      <c r="X12" s="12">
        <f>X9+((X13-X9)*(($D12-$D9)/($D13-$D9)))</f>
        <v>143.84327028559838</v>
      </c>
      <c r="Y12" s="12">
        <f t="shared" si="13"/>
        <v>0.15425425718391353</v>
      </c>
      <c r="Z12" s="21">
        <v>1.1000000000000001</v>
      </c>
      <c r="AA12" s="21">
        <v>1.97</v>
      </c>
      <c r="AB12" s="21">
        <f>$Q12+Z12</f>
        <v>144.03187956551722</v>
      </c>
      <c r="AC12" s="12">
        <f t="shared" si="10"/>
        <v>0.17596259051724511</v>
      </c>
      <c r="AF12" s="12">
        <f>AF9+((AF13-AF9)*(($D12-$D9)/($D13-$D9)))</f>
        <v>144.27327028559836</v>
      </c>
      <c r="AG12" s="12">
        <f t="shared" si="3"/>
        <v>0.20619175718391455</v>
      </c>
      <c r="AI12" s="21">
        <f t="shared" si="4"/>
        <v>8.4166666666666661</v>
      </c>
      <c r="AJ12" s="21">
        <f t="shared" si="5"/>
        <v>142.93187956551722</v>
      </c>
      <c r="AK12" s="21">
        <f t="shared" si="11"/>
        <v>143.465</v>
      </c>
      <c r="AL12" s="21">
        <f t="shared" si="6"/>
        <v>143.67230000000001</v>
      </c>
      <c r="AM12" s="21">
        <f t="shared" si="7"/>
        <v>143.7765</v>
      </c>
      <c r="AN12" s="21">
        <f t="shared" si="8"/>
        <v>143.92160000000001</v>
      </c>
    </row>
    <row r="13" spans="1:40" ht="14.5" customHeight="1" x14ac:dyDescent="0.35">
      <c r="A13" s="21" t="s">
        <v>85</v>
      </c>
      <c r="B13" s="21">
        <v>8</v>
      </c>
      <c r="C13" s="21">
        <v>8</v>
      </c>
      <c r="D13" s="21">
        <f>B13+(C13/12)</f>
        <v>8.6666666666666661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 t="shared" si="2"/>
        <v>8.6666666666666661</v>
      </c>
      <c r="Q13" s="12">
        <f>Q11+((Q14-Q11)*(($D13-$D11)/($D14-$D11)))</f>
        <v>142.9649830137931</v>
      </c>
      <c r="R13" s="21">
        <v>0.74</v>
      </c>
      <c r="S13" s="21">
        <v>1.05</v>
      </c>
      <c r="T13" s="21">
        <f>$Q13+R13</f>
        <v>143.70498301379311</v>
      </c>
      <c r="U13" s="12">
        <f t="shared" si="9"/>
        <v>0.26042551364942818</v>
      </c>
      <c r="V13" s="21">
        <v>0.9</v>
      </c>
      <c r="W13" s="21">
        <v>1.36</v>
      </c>
      <c r="X13" s="21">
        <f>$Q13+V13</f>
        <v>143.86498301379311</v>
      </c>
      <c r="Y13" s="12">
        <f t="shared" si="13"/>
        <v>0.36839426364943018</v>
      </c>
      <c r="AB13" s="12">
        <f>AB12+((AB15-AB12)*(($D13-$D12)/($D15-$D12)))</f>
        <v>144.02970170707803</v>
      </c>
      <c r="AC13" s="12">
        <f t="shared" si="10"/>
        <v>0.42266509698275917</v>
      </c>
      <c r="AD13" s="21">
        <v>1.35</v>
      </c>
      <c r="AE13" s="21">
        <v>2.21</v>
      </c>
      <c r="AF13" s="21">
        <f>$Q13+AD13</f>
        <v>144.3149830137931</v>
      </c>
      <c r="AG13" s="12">
        <f t="shared" si="3"/>
        <v>0.49823801364943299</v>
      </c>
      <c r="AI13" s="21">
        <f t="shared" si="4"/>
        <v>8.6666666666666661</v>
      </c>
      <c r="AJ13" s="21">
        <f t="shared" si="5"/>
        <v>142.9649830137931</v>
      </c>
      <c r="AK13" s="21">
        <f t="shared" si="11"/>
        <v>143.465</v>
      </c>
      <c r="AL13" s="21">
        <f t="shared" si="6"/>
        <v>143.67230000000001</v>
      </c>
      <c r="AM13" s="21">
        <f t="shared" si="7"/>
        <v>143.7765</v>
      </c>
      <c r="AN13" s="21">
        <f t="shared" si="8"/>
        <v>143.92160000000001</v>
      </c>
    </row>
    <row r="14" spans="1:40" ht="14.5" customHeight="1" x14ac:dyDescent="0.35">
      <c r="A14" s="21" t="s">
        <v>67</v>
      </c>
      <c r="B14" s="21">
        <v>9</v>
      </c>
      <c r="C14" s="21">
        <v>5.5</v>
      </c>
      <c r="D14" s="21">
        <f t="shared" si="14"/>
        <v>9.4583333333333339</v>
      </c>
      <c r="E14" s="21">
        <v>5.39</v>
      </c>
      <c r="F14" s="20"/>
      <c r="G14" s="20"/>
      <c r="H14" s="20"/>
      <c r="I14" s="20"/>
      <c r="J14" s="20"/>
      <c r="K14" s="20"/>
      <c r="L14" s="20"/>
      <c r="M14" s="20"/>
      <c r="N14" s="20">
        <v>1</v>
      </c>
      <c r="O14" s="20">
        <f t="shared" si="1"/>
        <v>1</v>
      </c>
      <c r="P14" s="20">
        <f t="shared" si="2"/>
        <v>9.4583333333333339</v>
      </c>
      <c r="Q14" s="12">
        <f>$B$58-E14</f>
        <v>143.06981060000001</v>
      </c>
      <c r="T14" s="12">
        <f>T13+((T24-T13)*(($D14-$D13)/($D24-$D13)))</f>
        <v>143.67706324818573</v>
      </c>
      <c r="U14" s="12">
        <f t="shared" si="9"/>
        <v>0.16466224999999698</v>
      </c>
      <c r="X14" s="12">
        <f>X13+((X24-X13)*(($D14-$D13)/($D24-$D13)))</f>
        <v>143.83882250744497</v>
      </c>
      <c r="Y14" s="12">
        <f t="shared" si="13"/>
        <v>0.25103724999999855</v>
      </c>
      <c r="AB14" s="12">
        <f>AB12+((AB15-AB12)*(($D14-$D12)/($D15-$D12)))</f>
        <v>144.02280515535392</v>
      </c>
      <c r="AC14" s="12">
        <f t="shared" si="10"/>
        <v>0.29445391666666176</v>
      </c>
      <c r="AF14" s="12">
        <f>AF13+((AF17-AF13)*(($D14-$D13)/($D17-$D13)))</f>
        <v>144.2777713609988</v>
      </c>
      <c r="AG14" s="12">
        <f t="shared" si="3"/>
        <v>0.35491225000000076</v>
      </c>
      <c r="AI14" s="21">
        <f t="shared" si="4"/>
        <v>9.4583333333333339</v>
      </c>
      <c r="AJ14" s="21">
        <f t="shared" si="5"/>
        <v>143.06981060000001</v>
      </c>
      <c r="AK14" s="21">
        <f t="shared" si="11"/>
        <v>143.465</v>
      </c>
      <c r="AL14" s="21">
        <f t="shared" si="6"/>
        <v>143.67230000000001</v>
      </c>
      <c r="AM14" s="21">
        <f t="shared" si="7"/>
        <v>143.7765</v>
      </c>
      <c r="AN14" s="21">
        <f t="shared" si="8"/>
        <v>143.92160000000001</v>
      </c>
    </row>
    <row r="15" spans="1:40" ht="14.5" customHeight="1" x14ac:dyDescent="0.35">
      <c r="A15" s="21" t="s">
        <v>83</v>
      </c>
      <c r="B15" s="21">
        <v>9</v>
      </c>
      <c r="C15" s="21">
        <v>6</v>
      </c>
      <c r="D15" s="21">
        <f t="shared" si="14"/>
        <v>9.5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f t="shared" si="2"/>
        <v>9.5</v>
      </c>
      <c r="Q15" s="12">
        <f>Q14+((Q16-Q14)*(($D15-$D14)/($D16-$D14)))</f>
        <v>143.12244217894738</v>
      </c>
      <c r="T15" s="12">
        <f>T13+((T24-T13)*(($D15-$D13)/($D24-$D13)))</f>
        <v>143.67559378683796</v>
      </c>
      <c r="U15" s="12">
        <f t="shared" si="9"/>
        <v>0.135595804166663</v>
      </c>
      <c r="X15" s="12">
        <f>X13+((X24-X13)*(($D15-$D13)/($D24-$D13)))</f>
        <v>143.83744563868981</v>
      </c>
      <c r="Y15" s="12">
        <f t="shared" si="13"/>
        <v>0.21765205416666436</v>
      </c>
      <c r="Z15" s="21">
        <v>0.9</v>
      </c>
      <c r="AB15" s="21">
        <f>$Q15+Z15</f>
        <v>144.02244217894739</v>
      </c>
      <c r="AC15" s="12">
        <f t="shared" si="10"/>
        <v>0.25889788749999437</v>
      </c>
      <c r="AF15" s="12">
        <f>AF13+((AF17-AF13)*(($D15-$D13)/($D17-$D13)))</f>
        <v>144.27581285295699</v>
      </c>
      <c r="AG15" s="12">
        <f t="shared" si="3"/>
        <v>0.31633330416666633</v>
      </c>
      <c r="AI15" s="21">
        <f t="shared" si="4"/>
        <v>9.5</v>
      </c>
      <c r="AJ15" s="21">
        <f t="shared" si="5"/>
        <v>143.12244217894738</v>
      </c>
      <c r="AK15" s="21">
        <f t="shared" si="11"/>
        <v>143.465</v>
      </c>
      <c r="AL15" s="21">
        <f t="shared" si="6"/>
        <v>143.67230000000001</v>
      </c>
      <c r="AM15" s="21">
        <f t="shared" si="7"/>
        <v>143.7765</v>
      </c>
      <c r="AN15" s="21">
        <f t="shared" si="8"/>
        <v>143.92160000000001</v>
      </c>
    </row>
    <row r="16" spans="1:40" ht="14.5" customHeight="1" x14ac:dyDescent="0.35">
      <c r="A16" s="21" t="s">
        <v>67</v>
      </c>
      <c r="B16" s="21">
        <v>10</v>
      </c>
      <c r="C16" s="21">
        <v>3</v>
      </c>
      <c r="D16" s="21">
        <f t="shared" si="14"/>
        <v>10.25</v>
      </c>
      <c r="E16" s="21">
        <v>4.3899999999999997</v>
      </c>
      <c r="F16" s="20"/>
      <c r="G16" s="20"/>
      <c r="H16" s="20"/>
      <c r="I16" s="20"/>
      <c r="J16" s="20"/>
      <c r="K16" s="20"/>
      <c r="L16" s="20"/>
      <c r="M16" s="20"/>
      <c r="N16" s="20">
        <v>1</v>
      </c>
      <c r="O16" s="20">
        <f t="shared" si="1"/>
        <v>1</v>
      </c>
      <c r="P16" s="20">
        <f t="shared" si="2"/>
        <v>10.25</v>
      </c>
      <c r="Q16" s="12">
        <f>$B$58-E16</f>
        <v>144.06981060000001</v>
      </c>
      <c r="T16" s="12"/>
      <c r="U16" s="12"/>
      <c r="X16" s="12">
        <f>X13+((X24-X13)*(($D16-$D13)/($D24-$D13)))</f>
        <v>143.81266200109684</v>
      </c>
      <c r="Y16" s="12"/>
      <c r="AB16" s="12">
        <f>AB15+((AB18-AB15)*(($D16-$D15)/($D18-$D15)))</f>
        <v>144.02338954736842</v>
      </c>
      <c r="AC16" s="12">
        <f t="shared" si="10"/>
        <v>-0.23220422500000981</v>
      </c>
      <c r="AF16" s="12">
        <f>AF13+((AF17-AF13)*(($D16-$D13)/($D17-$D13)))</f>
        <v>144.24055970820453</v>
      </c>
      <c r="AG16" s="12">
        <f t="shared" si="3"/>
        <v>-0.11733339166666572</v>
      </c>
      <c r="AI16" s="21">
        <f t="shared" si="4"/>
        <v>10.25</v>
      </c>
      <c r="AJ16" s="21">
        <f t="shared" si="5"/>
        <v>144.06981060000001</v>
      </c>
    </row>
    <row r="17" spans="1:40" ht="14.5" customHeight="1" x14ac:dyDescent="0.35">
      <c r="A17" s="21" t="s">
        <v>124</v>
      </c>
      <c r="B17" s="21">
        <v>11</v>
      </c>
      <c r="C17" s="21">
        <v>1</v>
      </c>
      <c r="D17" s="21">
        <f t="shared" si="14"/>
        <v>11.083333333333334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f t="shared" si="2"/>
        <v>11.083333333333334</v>
      </c>
      <c r="Q17" s="12">
        <f>Q16+((Q19-Q16)*(($D17-$D16)/($D19-$D16)))</f>
        <v>143.90138954736841</v>
      </c>
      <c r="T17" s="12"/>
      <c r="X17" s="12"/>
      <c r="AB17" s="12">
        <f>AB15+((AB18-AB15)*(($D17-$D15)/($D18-$D15)))</f>
        <v>144.02444217894734</v>
      </c>
      <c r="AC17" s="12">
        <f t="shared" si="10"/>
        <v>-5.7241042543855238E-2</v>
      </c>
      <c r="AD17" s="21">
        <v>0.3</v>
      </c>
      <c r="AE17" s="21">
        <v>1.8</v>
      </c>
      <c r="AF17" s="21">
        <f>$Q17+AD17</f>
        <v>144.20138954736842</v>
      </c>
      <c r="AG17" s="12">
        <f t="shared" si="3"/>
        <v>9.2631241228175957E-3</v>
      </c>
      <c r="AI17" s="21">
        <f t="shared" si="4"/>
        <v>11.083333333333334</v>
      </c>
      <c r="AJ17" s="21">
        <f t="shared" si="5"/>
        <v>143.90138954736841</v>
      </c>
      <c r="AN17" s="21">
        <f t="shared" ref="AN17:AN26" si="15">T2F4_Flat_Level</f>
        <v>143.92160000000001</v>
      </c>
    </row>
    <row r="18" spans="1:40" ht="14.5" customHeight="1" x14ac:dyDescent="0.35">
      <c r="A18" s="21" t="s">
        <v>83</v>
      </c>
      <c r="B18" s="21">
        <v>11</v>
      </c>
      <c r="C18" s="21">
        <v>2</v>
      </c>
      <c r="D18" s="21">
        <f t="shared" si="14"/>
        <v>11.166666666666666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si="2"/>
        <v>11.166666666666666</v>
      </c>
      <c r="Q18" s="12">
        <f>Q16+((Q19-Q16)*(($D18-$D16)/($D19-$D16)))</f>
        <v>143.88454744210526</v>
      </c>
      <c r="T18" s="12"/>
      <c r="X18" s="12"/>
      <c r="Z18" s="21">
        <v>0.14000000000000001</v>
      </c>
      <c r="AA18" s="21">
        <v>0.69</v>
      </c>
      <c r="AB18" s="21">
        <f>$Q18+Z18</f>
        <v>144.02454744210524</v>
      </c>
      <c r="AC18" s="12">
        <f t="shared" si="10"/>
        <v>-4.0517790789472485E-2</v>
      </c>
      <c r="AF18" s="12">
        <f>AF17+((AF24-AF17)*(($D18-$D17)/($D24-$D17)))</f>
        <v>144.17758521300308</v>
      </c>
      <c r="AG18" s="12">
        <f t="shared" si="3"/>
        <v>1.3894709210532596E-2</v>
      </c>
      <c r="AI18" s="21">
        <f t="shared" si="4"/>
        <v>11.166666666666666</v>
      </c>
      <c r="AJ18" s="21">
        <f t="shared" si="5"/>
        <v>143.88454744210526</v>
      </c>
      <c r="AN18" s="21">
        <f t="shared" si="15"/>
        <v>143.92160000000001</v>
      </c>
    </row>
    <row r="19" spans="1:40" ht="14.5" customHeight="1" x14ac:dyDescent="0.35">
      <c r="A19" s="21" t="s">
        <v>118</v>
      </c>
      <c r="B19" s="21">
        <v>11</v>
      </c>
      <c r="C19" s="21">
        <v>10</v>
      </c>
      <c r="D19" s="21">
        <f t="shared" si="14"/>
        <v>11.833333333333334</v>
      </c>
      <c r="E19" s="21">
        <v>4.71</v>
      </c>
      <c r="F19" s="20"/>
      <c r="G19" s="20"/>
      <c r="H19" s="20"/>
      <c r="I19" s="20"/>
      <c r="J19" s="20"/>
      <c r="K19" s="20"/>
      <c r="L19" s="20"/>
      <c r="M19" s="20"/>
      <c r="N19" s="20">
        <v>1</v>
      </c>
      <c r="O19" s="20">
        <f t="shared" si="1"/>
        <v>1</v>
      </c>
      <c r="P19" s="20">
        <f t="shared" si="2"/>
        <v>11.833333333333334</v>
      </c>
      <c r="Q19" s="12">
        <f>$B$58-E19</f>
        <v>143.74981059999999</v>
      </c>
      <c r="T19" s="12">
        <f>T13+((T24-T13)*(($D19-$D13)/($D24-$D13)))</f>
        <v>143.59330395136354</v>
      </c>
      <c r="U19" s="12">
        <f t="shared" ref="U19:U26" si="16">(T2F1_Flat_Level-$Q19)*(($P20-$P18)/2)</f>
        <v>-0.13053819166666039</v>
      </c>
      <c r="X19" s="12">
        <f>X13+((X24-X13)*(($D19-$D13)/($D24-$D13)))</f>
        <v>143.76034098840057</v>
      </c>
      <c r="Y19" s="12">
        <f t="shared" ref="Y19:Y26" si="17">(T2F2_Flat_Level-$Q19)*(($P20-$P18)/2)</f>
        <v>-3.5525691666658615E-2</v>
      </c>
      <c r="AB19" s="12">
        <f>AB18+((AB21-AB18)*(($D19-$D18)/($D21-$D18)))</f>
        <v>143.64531111599587</v>
      </c>
      <c r="AC19" s="12">
        <f t="shared" si="10"/>
        <v>1.2232641666670945E-2</v>
      </c>
      <c r="AF19" s="12">
        <f>AF17+((AF24-AF17)*(($D19-$D17)/($D24-$D17)))</f>
        <v>143.9871505380805</v>
      </c>
      <c r="AG19" s="12">
        <f t="shared" si="3"/>
        <v>7.8736808333343913E-2</v>
      </c>
      <c r="AI19" s="21">
        <f t="shared" si="4"/>
        <v>11.833333333333334</v>
      </c>
      <c r="AJ19" s="21">
        <f t="shared" si="5"/>
        <v>143.74981059999999</v>
      </c>
      <c r="AK19" s="21">
        <f t="shared" ref="AK19:AK25" si="18">T2F1_Flat_Level</f>
        <v>143.465</v>
      </c>
      <c r="AL19" s="21">
        <f t="shared" ref="AL19:AL25" si="19">T2F2_Flat_Level</f>
        <v>143.67230000000001</v>
      </c>
      <c r="AM19" s="21">
        <f t="shared" ref="AM19:AM26" si="20">T2F3_Flat_Level</f>
        <v>143.7765</v>
      </c>
      <c r="AN19" s="21">
        <f t="shared" si="15"/>
        <v>143.92160000000001</v>
      </c>
    </row>
    <row r="20" spans="1:40" ht="14.5" customHeight="1" x14ac:dyDescent="0.35">
      <c r="A20" s="21" t="s">
        <v>67</v>
      </c>
      <c r="B20" s="21">
        <v>12</v>
      </c>
      <c r="C20" s="21">
        <v>1</v>
      </c>
      <c r="D20" s="21">
        <f t="shared" si="14"/>
        <v>12.083333333333334</v>
      </c>
      <c r="E20" s="21">
        <v>5.34</v>
      </c>
      <c r="F20" s="20"/>
      <c r="G20" s="20"/>
      <c r="H20" s="20"/>
      <c r="I20" s="20"/>
      <c r="J20" s="20"/>
      <c r="K20" s="20">
        <v>1</v>
      </c>
      <c r="L20" s="20"/>
      <c r="M20" s="20"/>
      <c r="N20" s="20"/>
      <c r="O20" s="20">
        <f t="shared" si="1"/>
        <v>1</v>
      </c>
      <c r="P20" s="20">
        <f t="shared" si="2"/>
        <v>12.083333333333334</v>
      </c>
      <c r="Q20" s="12">
        <f>$B$58-E20</f>
        <v>143.11981059999999</v>
      </c>
      <c r="T20" s="12">
        <f>T13+((T24-T13)*(($D20-$D13)/($D24-$D13)))</f>
        <v>143.58448718327699</v>
      </c>
      <c r="U20" s="12">
        <f t="shared" si="16"/>
        <v>5.7531566666668053E-2</v>
      </c>
      <c r="X20" s="12">
        <f>X13+((X24-X13)*(($D20-$D13)/($D24-$D13)))</f>
        <v>143.75207977586959</v>
      </c>
      <c r="Y20" s="12">
        <f t="shared" si="17"/>
        <v>9.208156666666853E-2</v>
      </c>
      <c r="AB20" s="12">
        <f>AB18+((AB21-AB18)*(($D20-$D18)/($D21-$D18)))</f>
        <v>143.50309749370484</v>
      </c>
      <c r="AC20" s="12">
        <f t="shared" si="10"/>
        <v>0.10944823333333374</v>
      </c>
      <c r="AF20" s="12">
        <f>AF17+((AF24-AF17)*(($D20-$D17)/($D24-$D17)))</f>
        <v>143.91573753498452</v>
      </c>
      <c r="AG20" s="12">
        <f t="shared" si="3"/>
        <v>0.13363156666666925</v>
      </c>
      <c r="AI20" s="21">
        <f t="shared" si="4"/>
        <v>12.083333333333334</v>
      </c>
      <c r="AJ20" s="21">
        <f t="shared" si="5"/>
        <v>143.11981059999999</v>
      </c>
      <c r="AK20" s="21">
        <f t="shared" si="18"/>
        <v>143.465</v>
      </c>
      <c r="AL20" s="21">
        <f t="shared" si="19"/>
        <v>143.67230000000001</v>
      </c>
      <c r="AM20" s="21">
        <f t="shared" si="20"/>
        <v>143.7765</v>
      </c>
      <c r="AN20" s="21">
        <f t="shared" si="15"/>
        <v>143.92160000000001</v>
      </c>
    </row>
    <row r="21" spans="1:40" ht="14.5" customHeight="1" x14ac:dyDescent="0.35">
      <c r="A21" s="21" t="s">
        <v>83</v>
      </c>
      <c r="B21" s="21">
        <v>12</v>
      </c>
      <c r="C21" s="21">
        <v>2</v>
      </c>
      <c r="D21" s="21">
        <f t="shared" si="14"/>
        <v>12.166666666666666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f t="shared" si="2"/>
        <v>12.166666666666666</v>
      </c>
      <c r="Q21" s="12">
        <f>Q20+((Q25-Q20)*(($D21-$D20)/($D25-$D20)))</f>
        <v>143.09569295294116</v>
      </c>
      <c r="T21" s="12">
        <f>T13+((T24-T13)*(($D21-$D13)/($D24-$D13)))</f>
        <v>143.58154826058149</v>
      </c>
      <c r="U21" s="12">
        <f t="shared" si="16"/>
        <v>3.0775587254903185E-2</v>
      </c>
      <c r="X21" s="12">
        <f>X13+((X24-X13)*(($D21-$D13)/($D24-$D13)))</f>
        <v>143.74932603835924</v>
      </c>
      <c r="Y21" s="12">
        <f t="shared" si="17"/>
        <v>4.8050587254903424E-2</v>
      </c>
      <c r="Z21" s="21">
        <v>0.36</v>
      </c>
      <c r="AB21" s="21">
        <f>$Q21+Z21</f>
        <v>143.45569295294118</v>
      </c>
      <c r="AC21" s="12">
        <f t="shared" si="10"/>
        <v>5.673392058823603E-2</v>
      </c>
      <c r="AF21" s="12">
        <f>AF17+((AF24-AF17)*(($D21-$D17)/($D24-$D17)))</f>
        <v>143.89193320061921</v>
      </c>
      <c r="AG21" s="12">
        <f t="shared" si="3"/>
        <v>6.8825587254903786E-2</v>
      </c>
      <c r="AI21" s="21">
        <f t="shared" si="4"/>
        <v>12.166666666666666</v>
      </c>
      <c r="AJ21" s="21">
        <f t="shared" si="5"/>
        <v>143.09569295294116</v>
      </c>
      <c r="AK21" s="21">
        <f t="shared" si="18"/>
        <v>143.465</v>
      </c>
      <c r="AL21" s="21">
        <f t="shared" si="19"/>
        <v>143.67230000000001</v>
      </c>
      <c r="AM21" s="21">
        <f t="shared" si="20"/>
        <v>143.7765</v>
      </c>
      <c r="AN21" s="21">
        <f t="shared" si="15"/>
        <v>143.92160000000001</v>
      </c>
    </row>
    <row r="22" spans="1:40" ht="14.5" customHeight="1" x14ac:dyDescent="0.35">
      <c r="A22" s="21" t="s">
        <v>83</v>
      </c>
      <c r="B22" s="21">
        <v>12</v>
      </c>
      <c r="C22" s="21">
        <v>3</v>
      </c>
      <c r="D22" s="21">
        <f t="shared" si="14"/>
        <v>12.25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f t="shared" si="2"/>
        <v>12.25</v>
      </c>
      <c r="Q22" s="12">
        <f>Q20+((Q25-Q20)*(($D22-$D20)/($D25-$D20)))</f>
        <v>143.07157530588233</v>
      </c>
      <c r="T22" s="12">
        <f>T13+((T24-T13)*(($D22-$D13)/($D24-$D13)))</f>
        <v>143.57860933788595</v>
      </c>
      <c r="U22" s="12">
        <f t="shared" si="16"/>
        <v>0.18031965147059878</v>
      </c>
      <c r="X22" s="12">
        <f>X13+((X24-X13)*(($D22-$D13)/($D24-$D13)))</f>
        <v>143.74657230084892</v>
      </c>
      <c r="Y22" s="12">
        <f t="shared" si="17"/>
        <v>0.27533215147060053</v>
      </c>
      <c r="Z22" s="21">
        <v>0.9</v>
      </c>
      <c r="AB22" s="21">
        <f>$Q22+Z22</f>
        <v>143.97157530588234</v>
      </c>
      <c r="AC22" s="12">
        <f t="shared" si="10"/>
        <v>0.3230904848039301</v>
      </c>
      <c r="AF22" s="12">
        <f>AF17+((AF24-AF17)*(($D22-$D17)/($D24-$D17)))</f>
        <v>143.86812886625387</v>
      </c>
      <c r="AG22" s="12">
        <f t="shared" si="3"/>
        <v>0.38959465147060307</v>
      </c>
      <c r="AI22" s="21">
        <f t="shared" si="4"/>
        <v>12.25</v>
      </c>
      <c r="AJ22" s="21">
        <f t="shared" si="5"/>
        <v>143.07157530588233</v>
      </c>
      <c r="AK22" s="21">
        <f t="shared" si="18"/>
        <v>143.465</v>
      </c>
      <c r="AL22" s="21">
        <f t="shared" si="19"/>
        <v>143.67230000000001</v>
      </c>
      <c r="AM22" s="21">
        <f t="shared" si="20"/>
        <v>143.7765</v>
      </c>
      <c r="AN22" s="21">
        <f t="shared" si="15"/>
        <v>143.92160000000001</v>
      </c>
    </row>
    <row r="23" spans="1:40" ht="14.5" customHeight="1" x14ac:dyDescent="0.35">
      <c r="A23" s="21" t="s">
        <v>83</v>
      </c>
      <c r="B23" s="21">
        <v>13</v>
      </c>
      <c r="C23" s="21">
        <v>1</v>
      </c>
      <c r="D23" s="21">
        <f t="shared" si="14"/>
        <v>13.083333333333334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f t="shared" si="2"/>
        <v>13.083333333333334</v>
      </c>
      <c r="Q23" s="12">
        <f>Q20+((Q25-Q20)*(($D23-$D20)/($D25-$D20)))</f>
        <v>142.83039883529412</v>
      </c>
      <c r="T23" s="12">
        <f>T13+((T24-T13)*(($D23-$D13)/($D24-$D13)))</f>
        <v>143.5492201109308</v>
      </c>
      <c r="U23" s="12">
        <f t="shared" si="16"/>
        <v>0.29085886715686354</v>
      </c>
      <c r="X23" s="12">
        <f>X13+((X24-X13)*(($D23-$D13)/($D24-$D13)))</f>
        <v>143.7190349257456</v>
      </c>
      <c r="Y23" s="12">
        <f t="shared" si="17"/>
        <v>0.3858713671568651</v>
      </c>
      <c r="Z23" s="21">
        <v>1.07</v>
      </c>
      <c r="AA23" s="21">
        <v>1.34</v>
      </c>
      <c r="AB23" s="21">
        <f>$Q23+Z23</f>
        <v>143.90039883529411</v>
      </c>
      <c r="AC23" s="12">
        <f t="shared" si="10"/>
        <v>0.43362970049019456</v>
      </c>
      <c r="AF23" s="12">
        <f>AF17+((AF24-AF17)*(($D23-$D17)/($D24-$D17)))</f>
        <v>143.63008552260064</v>
      </c>
      <c r="AG23" s="12">
        <f t="shared" si="3"/>
        <v>0.50013386715686736</v>
      </c>
      <c r="AI23" s="21">
        <f t="shared" si="4"/>
        <v>13.083333333333334</v>
      </c>
      <c r="AJ23" s="21">
        <f t="shared" si="5"/>
        <v>142.83039883529412</v>
      </c>
      <c r="AK23" s="21">
        <f t="shared" si="18"/>
        <v>143.465</v>
      </c>
      <c r="AL23" s="21">
        <f t="shared" si="19"/>
        <v>143.67230000000001</v>
      </c>
      <c r="AM23" s="21">
        <f t="shared" si="20"/>
        <v>143.7765</v>
      </c>
      <c r="AN23" s="21">
        <f t="shared" si="15"/>
        <v>143.92160000000001</v>
      </c>
    </row>
    <row r="24" spans="1:40" ht="14.5" customHeight="1" x14ac:dyDescent="0.35">
      <c r="A24" s="21" t="s">
        <v>85</v>
      </c>
      <c r="B24" s="21">
        <v>13</v>
      </c>
      <c r="C24" s="21">
        <v>2</v>
      </c>
      <c r="D24" s="21">
        <f>B24+(C24/12)</f>
        <v>13.166666666666666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f t="shared" si="2"/>
        <v>13.166666666666666</v>
      </c>
      <c r="Q24" s="12">
        <f>Q20+((Q25-Q20)*(($D24-$D20)/($D25-$D20)))</f>
        <v>142.80628118823529</v>
      </c>
      <c r="R24" s="21">
        <v>0.74</v>
      </c>
      <c r="S24" s="21">
        <v>0.8</v>
      </c>
      <c r="T24" s="21">
        <f>$Q24+R24</f>
        <v>143.5462811882353</v>
      </c>
      <c r="U24" s="12">
        <f t="shared" si="16"/>
        <v>0.13723308578431531</v>
      </c>
      <c r="V24" s="21">
        <v>0.91</v>
      </c>
      <c r="W24" s="21">
        <v>0.97</v>
      </c>
      <c r="X24" s="21">
        <f>$Q24+V24</f>
        <v>143.71628118823529</v>
      </c>
      <c r="Y24" s="12">
        <f t="shared" si="17"/>
        <v>0.180420585784316</v>
      </c>
      <c r="AB24" s="12">
        <f>AB23+((AB26-AB23)*(($D24-$D23)/($D26-$D23)))</f>
        <v>143.95692606840959</v>
      </c>
      <c r="AC24" s="12">
        <f t="shared" si="10"/>
        <v>0.20212891911764758</v>
      </c>
      <c r="AD24" s="21">
        <v>0.8</v>
      </c>
      <c r="AE24" s="21">
        <v>2.59</v>
      </c>
      <c r="AF24" s="21">
        <f>$Q24+AD24</f>
        <v>143.6062811882353</v>
      </c>
      <c r="AG24" s="12">
        <f t="shared" si="3"/>
        <v>0.23235808578431702</v>
      </c>
      <c r="AI24" s="21">
        <f t="shared" si="4"/>
        <v>13.166666666666666</v>
      </c>
      <c r="AJ24" s="21">
        <f t="shared" si="5"/>
        <v>142.80628118823529</v>
      </c>
      <c r="AK24" s="21">
        <f t="shared" si="18"/>
        <v>143.465</v>
      </c>
      <c r="AL24" s="21">
        <f t="shared" si="19"/>
        <v>143.67230000000001</v>
      </c>
      <c r="AM24" s="21">
        <f t="shared" si="20"/>
        <v>143.7765</v>
      </c>
      <c r="AN24" s="21">
        <f t="shared" si="15"/>
        <v>143.92160000000001</v>
      </c>
    </row>
    <row r="25" spans="1:40" ht="14.5" customHeight="1" x14ac:dyDescent="0.35">
      <c r="A25" s="21" t="s">
        <v>67</v>
      </c>
      <c r="B25" s="21">
        <v>13</v>
      </c>
      <c r="C25" s="21">
        <v>6</v>
      </c>
      <c r="D25" s="21">
        <f t="shared" si="14"/>
        <v>13.5</v>
      </c>
      <c r="E25" s="21">
        <v>5.75</v>
      </c>
      <c r="F25" s="20"/>
      <c r="G25" s="20"/>
      <c r="H25" s="20"/>
      <c r="I25" s="20"/>
      <c r="J25" s="20"/>
      <c r="K25" s="20"/>
      <c r="L25" s="20"/>
      <c r="M25" s="20"/>
      <c r="N25" s="20">
        <v>1</v>
      </c>
      <c r="O25" s="20">
        <f t="shared" si="1"/>
        <v>1</v>
      </c>
      <c r="P25" s="20">
        <f t="shared" si="2"/>
        <v>13.5</v>
      </c>
      <c r="Q25" s="12">
        <f>$B$58-E25</f>
        <v>142.7098106</v>
      </c>
      <c r="T25" s="12">
        <f>T24+((T35-T24)*(($D25-$D24)/($D35-$D24)))</f>
        <v>143.53802236470588</v>
      </c>
      <c r="U25" s="12">
        <f t="shared" si="16"/>
        <v>0.2517298000000025</v>
      </c>
      <c r="X25" s="12">
        <f>X24+((X35-X24)*(($D25-$D24)/($D35-$D24)))</f>
        <v>143.71322236470587</v>
      </c>
      <c r="Y25" s="12">
        <f t="shared" si="17"/>
        <v>0.32082980000000383</v>
      </c>
      <c r="AB25" s="12">
        <f>AB23+((AB26-AB23)*(($D25-$D23)/($D26-$D23)))</f>
        <v>144.18303500087146</v>
      </c>
      <c r="AC25" s="12">
        <f t="shared" si="10"/>
        <v>0.35556313333333439</v>
      </c>
      <c r="AF25" s="12">
        <f>AF24+((AF35-AF24)*(($D25-$D24)/($D35-$D24)))</f>
        <v>143.6156223647059</v>
      </c>
      <c r="AG25" s="12">
        <f t="shared" si="3"/>
        <v>0.40392980000000567</v>
      </c>
      <c r="AI25" s="21">
        <f t="shared" si="4"/>
        <v>13.5</v>
      </c>
      <c r="AJ25" s="21">
        <f t="shared" si="5"/>
        <v>142.7098106</v>
      </c>
      <c r="AK25" s="21">
        <f t="shared" si="18"/>
        <v>143.465</v>
      </c>
      <c r="AL25" s="21">
        <f t="shared" si="19"/>
        <v>143.67230000000001</v>
      </c>
      <c r="AM25" s="21">
        <f t="shared" si="20"/>
        <v>143.7765</v>
      </c>
      <c r="AN25" s="21">
        <f t="shared" si="15"/>
        <v>143.92160000000001</v>
      </c>
    </row>
    <row r="26" spans="1:40" ht="14.5" customHeight="1" x14ac:dyDescent="0.35">
      <c r="A26" s="21" t="s">
        <v>83</v>
      </c>
      <c r="B26" s="21">
        <v>13</v>
      </c>
      <c r="C26" s="21">
        <v>10</v>
      </c>
      <c r="D26" s="21">
        <f t="shared" si="14"/>
        <v>13.833333333333334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2"/>
        <v>13.833333333333334</v>
      </c>
      <c r="Q26" s="12">
        <f>Q25+((Q27-Q25)*(($D26-$D25)/($D27-$D25)))</f>
        <v>143.13914393333334</v>
      </c>
      <c r="T26" s="12">
        <f>T24+((T35-T24)*(($D26-$D24)/($D35-$D24)))</f>
        <v>143.52976354117646</v>
      </c>
      <c r="U26" s="12">
        <f t="shared" si="16"/>
        <v>0.20366004166666229</v>
      </c>
      <c r="X26" s="12">
        <f>X24+((X35-X24)*(($D26-$D24)/($D35-$D24)))</f>
        <v>143.71016354117646</v>
      </c>
      <c r="Y26" s="12">
        <f t="shared" si="17"/>
        <v>0.33322254166666454</v>
      </c>
      <c r="Z26" s="21">
        <v>1.27</v>
      </c>
      <c r="AB26" s="21">
        <f>$Q26+Z26</f>
        <v>144.40914393333335</v>
      </c>
      <c r="AC26" s="12">
        <f t="shared" si="10"/>
        <v>0.39834754166665931</v>
      </c>
      <c r="AF26" s="12">
        <f>AF24+((AF35-AF24)*(($D26-$D24)/($D35-$D24)))</f>
        <v>143.62496354117647</v>
      </c>
      <c r="AG26" s="12">
        <f t="shared" si="3"/>
        <v>0.48903504166666778</v>
      </c>
      <c r="AI26" s="21">
        <f t="shared" si="4"/>
        <v>13.833333333333334</v>
      </c>
      <c r="AJ26" s="21">
        <f t="shared" si="5"/>
        <v>143.13914393333334</v>
      </c>
      <c r="AM26" s="21">
        <f t="shared" si="20"/>
        <v>143.7765</v>
      </c>
      <c r="AN26" s="21">
        <f t="shared" si="15"/>
        <v>143.92160000000001</v>
      </c>
    </row>
    <row r="27" spans="1:40" ht="14.5" customHeight="1" x14ac:dyDescent="0.35">
      <c r="A27" s="21" t="s">
        <v>119</v>
      </c>
      <c r="B27" s="21">
        <v>14</v>
      </c>
      <c r="C27" s="21">
        <v>9</v>
      </c>
      <c r="D27" s="21">
        <f t="shared" si="14"/>
        <v>14.75</v>
      </c>
      <c r="E27" s="21">
        <v>4.1399999999999997</v>
      </c>
      <c r="F27" s="20"/>
      <c r="G27" s="20"/>
      <c r="H27" s="20"/>
      <c r="I27" s="20"/>
      <c r="J27" s="20"/>
      <c r="K27" s="20"/>
      <c r="L27" s="20"/>
      <c r="M27" s="20"/>
      <c r="N27" s="20">
        <v>1</v>
      </c>
      <c r="O27" s="20">
        <f t="shared" si="1"/>
        <v>1</v>
      </c>
      <c r="P27" s="20">
        <f t="shared" si="2"/>
        <v>14.75</v>
      </c>
      <c r="Q27" s="12">
        <f>$B$58-E27</f>
        <v>144.31981060000001</v>
      </c>
      <c r="T27" s="12"/>
      <c r="U27" s="12"/>
      <c r="X27" s="12"/>
      <c r="Y27" s="12"/>
      <c r="AB27" s="12"/>
      <c r="AC27" s="12"/>
      <c r="AF27" s="12"/>
      <c r="AG27" s="12">
        <f t="shared" si="3"/>
        <v>-0.97893439166666352</v>
      </c>
      <c r="AI27" s="21">
        <f t="shared" si="4"/>
        <v>14.75</v>
      </c>
      <c r="AJ27" s="21">
        <f t="shared" si="5"/>
        <v>144.31981060000001</v>
      </c>
    </row>
    <row r="28" spans="1:40" ht="14.5" customHeight="1" x14ac:dyDescent="0.35">
      <c r="A28" s="21" t="s">
        <v>83</v>
      </c>
      <c r="B28" s="21">
        <v>18</v>
      </c>
      <c r="C28" s="21">
        <v>9</v>
      </c>
      <c r="D28" s="21">
        <f t="shared" si="14"/>
        <v>18.75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f t="shared" si="2"/>
        <v>18.75</v>
      </c>
      <c r="Q28" s="12">
        <f>Q27+((Q29-Q27)*(($D28-$D27)/($D29-$D27)))</f>
        <v>143.78647726666665</v>
      </c>
      <c r="T28" s="12"/>
      <c r="X28" s="12"/>
      <c r="Z28" s="21">
        <v>0</v>
      </c>
      <c r="AB28" s="21">
        <f>$Q28+Z28</f>
        <v>143.78647726666665</v>
      </c>
      <c r="AC28" s="12">
        <f t="shared" ref="AC28:AC51" si="21">(T2F3_Flat_Level-$Q28)*(($P29-$P27)/2)</f>
        <v>-2.6190324999962655E-2</v>
      </c>
      <c r="AF28" s="12">
        <f>AF24+((AF35-AF24)*(($D28-$D24)/($D35-$D24)))</f>
        <v>143.76274589411764</v>
      </c>
      <c r="AG28" s="12">
        <f t="shared" si="3"/>
        <v>0.35469717500007292</v>
      </c>
      <c r="AI28" s="21">
        <f t="shared" si="4"/>
        <v>18.75</v>
      </c>
      <c r="AJ28" s="21">
        <f t="shared" si="5"/>
        <v>143.78647726666665</v>
      </c>
      <c r="AM28" s="21">
        <f t="shared" ref="AM28:AM46" si="22">T2F3_Flat_Level</f>
        <v>143.7765</v>
      </c>
      <c r="AN28" s="21">
        <f t="shared" ref="AN28:AN51" si="23">T2F4_Flat_Level</f>
        <v>143.92160000000001</v>
      </c>
    </row>
    <row r="29" spans="1:40" ht="14.5" customHeight="1" x14ac:dyDescent="0.35">
      <c r="A29" s="21" t="s">
        <v>120</v>
      </c>
      <c r="B29" s="21">
        <v>20</v>
      </c>
      <c r="C29" s="21">
        <v>0</v>
      </c>
      <c r="D29" s="21">
        <f t="shared" si="14"/>
        <v>20</v>
      </c>
      <c r="E29" s="21">
        <v>4.84</v>
      </c>
      <c r="F29" s="20"/>
      <c r="G29" s="20"/>
      <c r="H29" s="20"/>
      <c r="I29" s="20"/>
      <c r="J29" s="20"/>
      <c r="K29" s="20"/>
      <c r="L29" s="20"/>
      <c r="M29" s="20"/>
      <c r="N29" s="20">
        <v>1</v>
      </c>
      <c r="O29" s="20">
        <f t="shared" si="1"/>
        <v>1</v>
      </c>
      <c r="P29" s="20">
        <f t="shared" si="2"/>
        <v>20</v>
      </c>
      <c r="Q29" s="12">
        <f>$B$58-E29</f>
        <v>143.61981059999999</v>
      </c>
      <c r="T29" s="12"/>
      <c r="X29" s="12">
        <f>X24+((X35-X24)*(($D29-$D24)/($D35-$D24)))</f>
        <v>143.65357530588236</v>
      </c>
      <c r="Y29" s="12"/>
      <c r="AB29" s="12">
        <f>AB28+((AB31-AB28)*(($D29-$D28)/($D31-$D28)))</f>
        <v>143.70437850123454</v>
      </c>
      <c r="AC29" s="12">
        <f t="shared" si="21"/>
        <v>0.11098832500000345</v>
      </c>
      <c r="AF29" s="12">
        <f>AF24+((AF35-AF24)*(($D29-$D24)/($D35-$D24)))</f>
        <v>143.79777530588234</v>
      </c>
      <c r="AG29" s="12">
        <f t="shared" si="3"/>
        <v>0.2137674916666798</v>
      </c>
      <c r="AI29" s="21">
        <f t="shared" si="4"/>
        <v>20</v>
      </c>
      <c r="AJ29" s="21">
        <f t="shared" si="5"/>
        <v>143.61981059999999</v>
      </c>
      <c r="AK29" s="21">
        <f t="shared" ref="AK29:AK36" si="24">T2F1_Flat_Level</f>
        <v>143.465</v>
      </c>
      <c r="AL29" s="21">
        <f t="shared" ref="AL29:AL46" si="25">T2F2_Flat_Level</f>
        <v>143.67230000000001</v>
      </c>
      <c r="AM29" s="21">
        <f t="shared" si="22"/>
        <v>143.7765</v>
      </c>
      <c r="AN29" s="21">
        <f t="shared" si="23"/>
        <v>143.92160000000001</v>
      </c>
    </row>
    <row r="30" spans="1:40" ht="14.5" customHeight="1" x14ac:dyDescent="0.35">
      <c r="A30" s="21" t="s">
        <v>67</v>
      </c>
      <c r="B30" s="21">
        <v>20</v>
      </c>
      <c r="C30" s="21">
        <v>2</v>
      </c>
      <c r="D30" s="21">
        <f t="shared" si="14"/>
        <v>20.166666666666668</v>
      </c>
      <c r="E30" s="21">
        <v>4.9400000000000004</v>
      </c>
      <c r="F30" s="20"/>
      <c r="G30" s="20"/>
      <c r="H30" s="20"/>
      <c r="I30" s="20">
        <v>0.5</v>
      </c>
      <c r="J30" s="20">
        <v>0.5</v>
      </c>
      <c r="K30" s="20"/>
      <c r="L30" s="20"/>
      <c r="M30" s="20"/>
      <c r="N30" s="20"/>
      <c r="O30" s="20">
        <f t="shared" si="1"/>
        <v>1</v>
      </c>
      <c r="P30" s="20">
        <f t="shared" si="2"/>
        <v>20.166666666666668</v>
      </c>
      <c r="Q30" s="12">
        <f>$B$58-E30</f>
        <v>143.5198106</v>
      </c>
      <c r="T30" s="12"/>
      <c r="X30" s="12">
        <f>X24+((X35-X24)*(($D30-$D24)/($D35-$D24)))</f>
        <v>143.65204589411766</v>
      </c>
      <c r="Y30" s="12"/>
      <c r="AB30" s="12">
        <f>AB28+((AB31-AB28)*(($D30-$D28)/($D31-$D28)))</f>
        <v>143.69343199917694</v>
      </c>
      <c r="AC30" s="12">
        <f t="shared" si="21"/>
        <v>3.2086174999999884E-2</v>
      </c>
      <c r="AF30" s="12">
        <f>AF24+((AF35-AF24)*(($D30-$D24)/($D35-$D24)))</f>
        <v>143.80244589411765</v>
      </c>
      <c r="AG30" s="12">
        <f t="shared" si="3"/>
        <v>5.0223675000001577E-2</v>
      </c>
      <c r="AI30" s="21">
        <f t="shared" si="4"/>
        <v>20.166666666666668</v>
      </c>
      <c r="AJ30" s="21">
        <f t="shared" si="5"/>
        <v>143.5198106</v>
      </c>
      <c r="AK30" s="21">
        <f t="shared" si="24"/>
        <v>143.465</v>
      </c>
      <c r="AL30" s="21">
        <f t="shared" si="25"/>
        <v>143.67230000000001</v>
      </c>
      <c r="AM30" s="21">
        <f t="shared" si="22"/>
        <v>143.7765</v>
      </c>
      <c r="AN30" s="21">
        <f t="shared" si="23"/>
        <v>143.92160000000001</v>
      </c>
    </row>
    <row r="31" spans="1:40" ht="14.5" customHeight="1" x14ac:dyDescent="0.35">
      <c r="A31" s="21" t="s">
        <v>83</v>
      </c>
      <c r="B31" s="21">
        <v>20</v>
      </c>
      <c r="C31" s="21">
        <v>3</v>
      </c>
      <c r="D31" s="21">
        <f t="shared" si="14"/>
        <v>20.25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f t="shared" si="2"/>
        <v>20.25</v>
      </c>
      <c r="Q31" s="12">
        <f>Q30+((Q33-Q30)*(($D31-$D30)/($D33-$D30)))</f>
        <v>143.48795874814815</v>
      </c>
      <c r="T31" s="12"/>
      <c r="X31" s="12">
        <f>X24+((X35-X24)*(($D31-$D24)/($D35-$D24)))</f>
        <v>143.65128118823529</v>
      </c>
      <c r="Y31" s="12"/>
      <c r="Z31" s="21">
        <v>0.2</v>
      </c>
      <c r="AA31" s="21">
        <v>0</v>
      </c>
      <c r="AB31" s="21">
        <f>$Q31+Z31</f>
        <v>143.68795874814813</v>
      </c>
      <c r="AC31" s="12">
        <f t="shared" si="21"/>
        <v>3.6067656481481691E-2</v>
      </c>
      <c r="AF31" s="12">
        <f>AF24+((AF35-AF24)*(($D31-$D24)/($D35-$D24)))</f>
        <v>143.8047811882353</v>
      </c>
      <c r="AG31" s="12">
        <f t="shared" si="3"/>
        <v>5.4205156481483385E-2</v>
      </c>
      <c r="AI31" s="21">
        <f t="shared" si="4"/>
        <v>20.25</v>
      </c>
      <c r="AJ31" s="21">
        <f t="shared" si="5"/>
        <v>143.48795874814815</v>
      </c>
      <c r="AK31" s="21">
        <f t="shared" si="24"/>
        <v>143.465</v>
      </c>
      <c r="AL31" s="21">
        <f t="shared" si="25"/>
        <v>143.67230000000001</v>
      </c>
      <c r="AM31" s="21">
        <f t="shared" si="22"/>
        <v>143.7765</v>
      </c>
      <c r="AN31" s="21">
        <f t="shared" si="23"/>
        <v>143.92160000000001</v>
      </c>
    </row>
    <row r="32" spans="1:40" ht="14.5" customHeight="1" x14ac:dyDescent="0.35">
      <c r="A32" s="21" t="s">
        <v>83</v>
      </c>
      <c r="B32" s="21">
        <v>20</v>
      </c>
      <c r="C32" s="21">
        <v>5</v>
      </c>
      <c r="D32" s="21">
        <f t="shared" si="14"/>
        <v>20.416666666666668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f t="shared" si="2"/>
        <v>20.416666666666668</v>
      </c>
      <c r="Q32" s="12">
        <f>Q30+((Q33-Q30)*(($D32-$D30)/($D33-$D30)))</f>
        <v>143.42425504444444</v>
      </c>
      <c r="T32" s="12">
        <f>T24+((T35-T24)*(($D32-$D24)/($D35-$D24)))</f>
        <v>143.36665177647058</v>
      </c>
      <c r="U32" s="12">
        <f>(T2F1_Flat_Level-$Q32)*(($P33-$P31)/2)</f>
        <v>2.1221331018524622E-2</v>
      </c>
      <c r="X32" s="12">
        <f>X24+((X35-X24)*(($D32-$D24)/($D35-$D24)))</f>
        <v>143.64975177647059</v>
      </c>
      <c r="Y32" s="12">
        <f>(T2F2_Flat_Level-$Q32)*(($P33-$P31)/2)</f>
        <v>0.12919008101852661</v>
      </c>
      <c r="Z32" s="21">
        <v>0.5</v>
      </c>
      <c r="AB32" s="21">
        <f>$Q32+Z32</f>
        <v>143.92425504444444</v>
      </c>
      <c r="AC32" s="12">
        <f t="shared" si="21"/>
        <v>0.18346091435185566</v>
      </c>
      <c r="AF32" s="12">
        <f>AF24+((AF35-AF24)*(($D32-$D24)/($D35-$D24)))</f>
        <v>143.80945177647058</v>
      </c>
      <c r="AG32" s="12">
        <f t="shared" si="3"/>
        <v>0.25903383101852945</v>
      </c>
      <c r="AI32" s="21">
        <f t="shared" si="4"/>
        <v>20.416666666666668</v>
      </c>
      <c r="AJ32" s="21">
        <f t="shared" si="5"/>
        <v>143.42425504444444</v>
      </c>
      <c r="AK32" s="21">
        <f t="shared" si="24"/>
        <v>143.465</v>
      </c>
      <c r="AL32" s="21">
        <f t="shared" si="25"/>
        <v>143.67230000000001</v>
      </c>
      <c r="AM32" s="21">
        <f t="shared" si="22"/>
        <v>143.7765</v>
      </c>
      <c r="AN32" s="21">
        <f t="shared" si="23"/>
        <v>143.92160000000001</v>
      </c>
    </row>
    <row r="33" spans="1:40" ht="14.5" customHeight="1" x14ac:dyDescent="0.35">
      <c r="A33" s="21" t="s">
        <v>67</v>
      </c>
      <c r="B33" s="21">
        <v>21</v>
      </c>
      <c r="C33" s="21">
        <v>3.5</v>
      </c>
      <c r="D33" s="21">
        <f t="shared" si="14"/>
        <v>21.291666666666668</v>
      </c>
      <c r="E33" s="21">
        <v>5.37</v>
      </c>
      <c r="F33" s="20"/>
      <c r="G33" s="20"/>
      <c r="H33" s="20"/>
      <c r="I33" s="20"/>
      <c r="J33" s="20">
        <v>1</v>
      </c>
      <c r="K33" s="20"/>
      <c r="L33" s="20"/>
      <c r="M33" s="20"/>
      <c r="N33" s="20"/>
      <c r="O33" s="20">
        <f t="shared" si="1"/>
        <v>1</v>
      </c>
      <c r="P33" s="20">
        <f t="shared" si="2"/>
        <v>21.291666666666668</v>
      </c>
      <c r="Q33" s="12">
        <f>$B$58-E33</f>
        <v>143.08981059999999</v>
      </c>
      <c r="T33" s="12">
        <f>T24+((T35-T24)*(($D33-$D24)/($D35-$D24)))</f>
        <v>143.34497236470588</v>
      </c>
      <c r="U33" s="12">
        <f>(T2F1_Flat_Level-$Q33)*(($P34-$P32)/2)</f>
        <v>0.18759470000000533</v>
      </c>
      <c r="X33" s="12">
        <f>X24+((X35-X24)*(($D33-$D24)/($D35-$D24)))</f>
        <v>143.64172236470588</v>
      </c>
      <c r="Y33" s="12">
        <f>(T2F2_Flat_Level-$Q33)*(($P34-$P32)/2)</f>
        <v>0.29124470000000713</v>
      </c>
      <c r="AB33" s="12">
        <f>AB32+((AB34-AB32)*(($D33-$D32)/($D34-$D32)))</f>
        <v>143.85036615555555</v>
      </c>
      <c r="AC33" s="12">
        <f t="shared" si="21"/>
        <v>0.34334470000000294</v>
      </c>
      <c r="AF33" s="12">
        <f>AF24+((AF35-AF24)*(($D33-$D24)/($D35-$D24)))</f>
        <v>143.83397236470589</v>
      </c>
      <c r="AG33" s="12">
        <f t="shared" si="3"/>
        <v>0.41589470000000972</v>
      </c>
      <c r="AI33" s="21">
        <f t="shared" si="4"/>
        <v>21.291666666666668</v>
      </c>
      <c r="AJ33" s="21">
        <f t="shared" si="5"/>
        <v>143.08981059999999</v>
      </c>
      <c r="AK33" s="21">
        <f t="shared" si="24"/>
        <v>143.465</v>
      </c>
      <c r="AL33" s="21">
        <f t="shared" si="25"/>
        <v>143.67230000000001</v>
      </c>
      <c r="AM33" s="21">
        <f t="shared" si="22"/>
        <v>143.7765</v>
      </c>
      <c r="AN33" s="21">
        <f t="shared" si="23"/>
        <v>143.92160000000001</v>
      </c>
    </row>
    <row r="34" spans="1:40" ht="14.5" customHeight="1" x14ac:dyDescent="0.35">
      <c r="A34" s="21" t="s">
        <v>83</v>
      </c>
      <c r="B34" s="21">
        <v>21</v>
      </c>
      <c r="C34" s="21">
        <v>5</v>
      </c>
      <c r="D34" s="21">
        <f t="shared" si="14"/>
        <v>21.416666666666668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2"/>
        <v>21.416666666666668</v>
      </c>
      <c r="Q34" s="12">
        <f>Q33+((Q37-Q33)*(($D34-$D33)/($D37-$D33)))</f>
        <v>143.11981059999999</v>
      </c>
      <c r="T34" s="12">
        <f>T24+((T35-T24)*(($D34-$D24)/($D35-$D24)))</f>
        <v>143.34187530588235</v>
      </c>
      <c r="U34" s="12">
        <f>(T2F1_Flat_Level-$Q34)*(($P35-$P33)/2)</f>
        <v>3.5957229166667458E-2</v>
      </c>
      <c r="X34" s="12">
        <f>X24+((X35-X24)*(($D34-$D24)/($D35-$D24)))</f>
        <v>143.64057530588235</v>
      </c>
      <c r="Y34" s="12">
        <f>(T2F2_Flat_Level-$Q34)*(($P35-$P33)/2)</f>
        <v>5.755097916666771E-2</v>
      </c>
      <c r="Z34" s="21">
        <v>0.72</v>
      </c>
      <c r="AA34" s="21">
        <v>1.1499999999999999</v>
      </c>
      <c r="AB34" s="21">
        <f>$Q34+Z34</f>
        <v>143.83981059999999</v>
      </c>
      <c r="AC34" s="12">
        <f t="shared" si="21"/>
        <v>6.8405145833333444E-2</v>
      </c>
      <c r="AF34" s="12">
        <f>AF24+((AF35-AF24)*(($D34-$D24)/($D35-$D24)))</f>
        <v>143.83747530588235</v>
      </c>
      <c r="AG34" s="12">
        <f t="shared" si="3"/>
        <v>8.3519729166668097E-2</v>
      </c>
      <c r="AI34" s="21">
        <f t="shared" si="4"/>
        <v>21.416666666666668</v>
      </c>
      <c r="AJ34" s="21">
        <f t="shared" si="5"/>
        <v>143.11981059999999</v>
      </c>
      <c r="AK34" s="21">
        <f t="shared" si="24"/>
        <v>143.465</v>
      </c>
      <c r="AL34" s="21">
        <f t="shared" si="25"/>
        <v>143.67230000000001</v>
      </c>
      <c r="AM34" s="21">
        <f t="shared" si="22"/>
        <v>143.7765</v>
      </c>
      <c r="AN34" s="21">
        <f t="shared" si="23"/>
        <v>143.92160000000001</v>
      </c>
    </row>
    <row r="35" spans="1:40" ht="14.5" customHeight="1" x14ac:dyDescent="0.35">
      <c r="A35" s="21" t="s">
        <v>85</v>
      </c>
      <c r="B35" s="21">
        <v>21</v>
      </c>
      <c r="C35" s="21">
        <v>6</v>
      </c>
      <c r="D35" s="21">
        <f>B35+(C35/12)</f>
        <v>21.5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f t="shared" si="2"/>
        <v>21.5</v>
      </c>
      <c r="Q35" s="12">
        <f>Q33+((Q37-Q33)*(($D35-$D33)/($D37-$D33)))</f>
        <v>143.1398106</v>
      </c>
      <c r="R35" s="21">
        <v>0.2</v>
      </c>
      <c r="S35" s="21">
        <v>0.35</v>
      </c>
      <c r="T35" s="21">
        <f>$Q35+R35</f>
        <v>143.33981059999999</v>
      </c>
      <c r="U35" s="12">
        <f>(T2F1_Flat_Level-$Q35)*(($P36-$P34)/2)</f>
        <v>0.23034249166666579</v>
      </c>
      <c r="V35" s="21">
        <v>0.5</v>
      </c>
      <c r="W35" s="21">
        <v>0.37</v>
      </c>
      <c r="X35" s="21">
        <f>$Q35+V35</f>
        <v>143.6398106</v>
      </c>
      <c r="Y35" s="12">
        <f>(T2F2_Flat_Level-$Q35)*(($P36-$P34)/2)</f>
        <v>0.3771799916666681</v>
      </c>
      <c r="AB35" s="12">
        <f>AB34+((AB36-AB34)*(($D35-$D34)/($D36-$D34)))</f>
        <v>143.82922236470588</v>
      </c>
      <c r="AC35" s="12">
        <f t="shared" si="21"/>
        <v>0.45098832499999536</v>
      </c>
      <c r="AD35" s="21">
        <v>0.7</v>
      </c>
      <c r="AE35" s="21">
        <v>2.83</v>
      </c>
      <c r="AF35" s="21">
        <f>$Q35+AD35</f>
        <v>143.83981059999999</v>
      </c>
      <c r="AG35" s="12">
        <f t="shared" ref="AG35:AG52" si="26">(T2F4_Flat_Level-$Q35)*(($P36-$P34)/2)</f>
        <v>0.5537674916666715</v>
      </c>
      <c r="AI35" s="21">
        <f t="shared" si="4"/>
        <v>21.5</v>
      </c>
      <c r="AJ35" s="21">
        <f t="shared" si="5"/>
        <v>143.1398106</v>
      </c>
      <c r="AK35" s="21">
        <f t="shared" si="24"/>
        <v>143.465</v>
      </c>
      <c r="AL35" s="21">
        <f t="shared" si="25"/>
        <v>143.67230000000001</v>
      </c>
      <c r="AM35" s="21">
        <f t="shared" si="22"/>
        <v>143.7765</v>
      </c>
      <c r="AN35" s="21">
        <f t="shared" si="23"/>
        <v>143.92160000000001</v>
      </c>
    </row>
    <row r="36" spans="1:40" ht="14.5" customHeight="1" x14ac:dyDescent="0.35">
      <c r="A36" s="21" t="s">
        <v>83</v>
      </c>
      <c r="B36" s="21">
        <v>22</v>
      </c>
      <c r="C36" s="21">
        <v>10</v>
      </c>
      <c r="D36" s="21">
        <f>B36+(C36/12)</f>
        <v>22.833333333333332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f t="shared" si="2"/>
        <v>22.833333333333332</v>
      </c>
      <c r="Q36" s="12">
        <f>Q33+((Q37-Q33)*(($D36-$D33)/($D37-$D33)))</f>
        <v>143.4598106</v>
      </c>
      <c r="T36" s="12">
        <f>T35+((T40-T35)*(($D36-$D35)/($D40-$D35)))</f>
        <v>143.40594393333333</v>
      </c>
      <c r="U36" s="12">
        <f>(T2F1_Flat_Level-$Q36)*(($P37-$P35)/2)</f>
        <v>4.9731750000058649E-3</v>
      </c>
      <c r="X36" s="12">
        <f>X35+((X40-X35)*(($D36-$D35)/($D40-$D35)))</f>
        <v>143.62061059999999</v>
      </c>
      <c r="Y36" s="12">
        <f>(T2F2_Flat_Level-$Q36)*(($P37-$P35)/2)</f>
        <v>0.20363567500000943</v>
      </c>
      <c r="Z36" s="21">
        <v>0.2</v>
      </c>
      <c r="AB36" s="21">
        <f>$Q36+Z36</f>
        <v>143.65981059999999</v>
      </c>
      <c r="AC36" s="12">
        <f t="shared" si="21"/>
        <v>0.30349400833333479</v>
      </c>
      <c r="AF36" s="12">
        <f>AF35+((AF40-AF35)*(($D36-$D35)/($D40-$D35)))</f>
        <v>143.94149948888889</v>
      </c>
      <c r="AG36" s="12">
        <f t="shared" si="26"/>
        <v>0.44254817500001453</v>
      </c>
      <c r="AI36" s="21">
        <f t="shared" si="4"/>
        <v>22.833333333333332</v>
      </c>
      <c r="AJ36" s="21">
        <f t="shared" si="5"/>
        <v>143.4598106</v>
      </c>
      <c r="AK36" s="21">
        <f t="shared" si="24"/>
        <v>143.465</v>
      </c>
      <c r="AL36" s="21">
        <f t="shared" si="25"/>
        <v>143.67230000000001</v>
      </c>
      <c r="AM36" s="21">
        <f t="shared" si="22"/>
        <v>143.7765</v>
      </c>
      <c r="AN36" s="21">
        <f t="shared" si="23"/>
        <v>143.92160000000001</v>
      </c>
    </row>
    <row r="37" spans="1:40" ht="14.5" customHeight="1" x14ac:dyDescent="0.35">
      <c r="A37" s="21" t="s">
        <v>67</v>
      </c>
      <c r="B37" s="21">
        <v>23</v>
      </c>
      <c r="C37" s="21">
        <v>5</v>
      </c>
      <c r="D37" s="21">
        <f t="shared" si="14"/>
        <v>23.416666666666668</v>
      </c>
      <c r="E37" s="21">
        <v>4.8600000000000003</v>
      </c>
      <c r="F37" s="20"/>
      <c r="G37" s="20"/>
      <c r="H37" s="20"/>
      <c r="I37" s="20"/>
      <c r="J37" s="20"/>
      <c r="K37" s="20"/>
      <c r="L37" s="20"/>
      <c r="M37" s="20"/>
      <c r="N37" s="20">
        <v>1</v>
      </c>
      <c r="O37" s="20">
        <f t="shared" si="1"/>
        <v>1</v>
      </c>
      <c r="P37" s="20">
        <f t="shared" si="2"/>
        <v>23.416666666666668</v>
      </c>
      <c r="Q37" s="12">
        <f>$B$58-E37</f>
        <v>143.59981059999998</v>
      </c>
      <c r="T37" s="12"/>
      <c r="X37" s="12">
        <f>X35+((X40-X35)*(($D37-$D35)/($D40-$D35)))</f>
        <v>143.6122106</v>
      </c>
      <c r="Y37" s="12"/>
      <c r="AB37" s="12">
        <f>AB36+((AB42-AB36)*(($D37-$D36)/($D42-$D36)))</f>
        <v>143.67469171888109</v>
      </c>
      <c r="AC37" s="12">
        <f t="shared" si="21"/>
        <v>0.10306881666667551</v>
      </c>
      <c r="AF37" s="12">
        <f>AF35+((AF40-AF35)*(($D37-$D35)/($D40-$D35)))</f>
        <v>143.98598837777777</v>
      </c>
      <c r="AG37" s="12">
        <f t="shared" si="26"/>
        <v>0.18771048333335016</v>
      </c>
      <c r="AI37" s="21">
        <f t="shared" si="4"/>
        <v>23.416666666666668</v>
      </c>
      <c r="AJ37" s="21">
        <f t="shared" si="5"/>
        <v>143.59981059999998</v>
      </c>
      <c r="AL37" s="21">
        <f t="shared" si="25"/>
        <v>143.67230000000001</v>
      </c>
      <c r="AM37" s="21">
        <f t="shared" si="22"/>
        <v>143.7765</v>
      </c>
      <c r="AN37" s="21">
        <f t="shared" si="23"/>
        <v>143.92160000000001</v>
      </c>
    </row>
    <row r="38" spans="1:40" ht="14.5" customHeight="1" x14ac:dyDescent="0.35">
      <c r="A38" s="21" t="s">
        <v>67</v>
      </c>
      <c r="B38" s="21">
        <v>24</v>
      </c>
      <c r="C38" s="21">
        <v>0</v>
      </c>
      <c r="D38" s="21">
        <f t="shared" si="14"/>
        <v>24</v>
      </c>
      <c r="E38" s="21">
        <v>4.6399999999999997</v>
      </c>
      <c r="F38" s="20"/>
      <c r="G38" s="20"/>
      <c r="H38" s="20"/>
      <c r="I38" s="20"/>
      <c r="J38" s="20"/>
      <c r="K38" s="20"/>
      <c r="L38" s="20"/>
      <c r="M38" s="20"/>
      <c r="N38" s="20">
        <v>1</v>
      </c>
      <c r="O38" s="20">
        <f t="shared" si="1"/>
        <v>1</v>
      </c>
      <c r="P38" s="20">
        <f t="shared" si="2"/>
        <v>24</v>
      </c>
      <c r="Q38" s="12">
        <f>$B$58-E38</f>
        <v>143.81981060000001</v>
      </c>
      <c r="T38" s="12"/>
      <c r="U38" s="12"/>
      <c r="X38" s="12"/>
      <c r="AB38" s="12">
        <f>AB36+((AB42-AB36)*(($D38-$D36)/($D42-$D36)))</f>
        <v>143.68957283776223</v>
      </c>
      <c r="AC38" s="12">
        <f t="shared" si="21"/>
        <v>-2.165530000000615E-2</v>
      </c>
      <c r="AF38" s="12">
        <f>AF35+((AF40-AF35)*(($D38-$D35)/($D40-$D35)))</f>
        <v>144.03047726666665</v>
      </c>
      <c r="AG38" s="12">
        <f t="shared" si="26"/>
        <v>5.0894700000000626E-2</v>
      </c>
      <c r="AI38" s="21">
        <f t="shared" si="4"/>
        <v>24</v>
      </c>
      <c r="AJ38" s="21">
        <f t="shared" si="5"/>
        <v>143.81981060000001</v>
      </c>
      <c r="AK38" s="21">
        <f t="shared" ref="AK38:AK45" si="27">T2F1_Flat_Level</f>
        <v>143.465</v>
      </c>
      <c r="AL38" s="21">
        <f t="shared" si="25"/>
        <v>143.67230000000001</v>
      </c>
      <c r="AM38" s="21">
        <f t="shared" si="22"/>
        <v>143.7765</v>
      </c>
      <c r="AN38" s="21">
        <f t="shared" si="23"/>
        <v>143.92160000000001</v>
      </c>
    </row>
    <row r="39" spans="1:40" ht="14.5" customHeight="1" x14ac:dyDescent="0.35">
      <c r="A39" s="21" t="s">
        <v>67</v>
      </c>
      <c r="B39" s="21">
        <v>24</v>
      </c>
      <c r="C39" s="21">
        <v>5</v>
      </c>
      <c r="D39" s="21">
        <f t="shared" si="14"/>
        <v>24.416666666666668</v>
      </c>
      <c r="E39" s="21">
        <v>5.29</v>
      </c>
      <c r="F39" s="20"/>
      <c r="G39" s="20"/>
      <c r="H39" s="20"/>
      <c r="I39" s="20"/>
      <c r="J39" s="20"/>
      <c r="K39" s="20">
        <v>1</v>
      </c>
      <c r="L39" s="20"/>
      <c r="M39" s="20"/>
      <c r="N39" s="20"/>
      <c r="O39" s="20">
        <f t="shared" si="1"/>
        <v>1</v>
      </c>
      <c r="P39" s="20">
        <f t="shared" si="2"/>
        <v>24.416666666666668</v>
      </c>
      <c r="Q39" s="12">
        <f>$B$58-E39</f>
        <v>143.16981060000001</v>
      </c>
      <c r="T39" s="12">
        <f>T35+((T40-T35)*(($D39-$D35)/($D40-$D35)))</f>
        <v>143.48447726666666</v>
      </c>
      <c r="U39" s="12">
        <f t="shared" ref="U39:U44" si="28">(T2F1_Flat_Level-$Q39)*(($P40-$P38)/2)</f>
        <v>0.18449337499999885</v>
      </c>
      <c r="X39" s="12">
        <f>X35+((X40-X35)*(($D39-$D35)/($D40-$D35)))</f>
        <v>143.5978106</v>
      </c>
      <c r="Y39" s="12">
        <f t="shared" ref="Y39:Y44" si="29">(T2F2_Flat_Level-$Q39)*(($P40-$P38)/2)</f>
        <v>0.31405587500000109</v>
      </c>
      <c r="AB39" s="12">
        <f>AB36+((AB42-AB36)*(($D39-$D36)/($D42-$D36)))</f>
        <v>143.7002022083916</v>
      </c>
      <c r="AC39" s="12">
        <f t="shared" si="21"/>
        <v>0.37918087499999586</v>
      </c>
      <c r="AF39" s="12">
        <f>AF35+((AF40-AF35)*(($D39-$D35)/($D40-$D35)))</f>
        <v>144.06225504444444</v>
      </c>
      <c r="AG39" s="12">
        <f t="shared" si="26"/>
        <v>0.46986837500000433</v>
      </c>
      <c r="AI39" s="21">
        <f t="shared" si="4"/>
        <v>24.416666666666668</v>
      </c>
      <c r="AJ39" s="21">
        <f t="shared" si="5"/>
        <v>143.16981060000001</v>
      </c>
      <c r="AK39" s="21">
        <f t="shared" si="27"/>
        <v>143.465</v>
      </c>
      <c r="AL39" s="21">
        <f t="shared" si="25"/>
        <v>143.67230000000001</v>
      </c>
      <c r="AM39" s="21">
        <f t="shared" si="22"/>
        <v>143.7765</v>
      </c>
      <c r="AN39" s="21">
        <f t="shared" si="23"/>
        <v>143.92160000000001</v>
      </c>
    </row>
    <row r="40" spans="1:40" ht="14.5" customHeight="1" x14ac:dyDescent="0.35">
      <c r="A40" s="21" t="s">
        <v>85</v>
      </c>
      <c r="B40" s="21">
        <v>25</v>
      </c>
      <c r="C40" s="21">
        <v>3</v>
      </c>
      <c r="D40" s="21">
        <f t="shared" si="14"/>
        <v>25.25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>
        <f t="shared" si="2"/>
        <v>25.25</v>
      </c>
      <c r="Q40" s="12">
        <f>Q39+((Q41-Q39)*(($D40-$D39)/($D41-$D39)))</f>
        <v>143.12581059999999</v>
      </c>
      <c r="R40" s="21">
        <v>0.4</v>
      </c>
      <c r="S40" s="21">
        <v>1.45</v>
      </c>
      <c r="T40" s="21">
        <f>$Q40+R40</f>
        <v>143.5258106</v>
      </c>
      <c r="U40" s="12">
        <f t="shared" si="28"/>
        <v>0.35332229166667617</v>
      </c>
      <c r="V40" s="21">
        <v>0.46</v>
      </c>
      <c r="W40" s="21">
        <v>0.25</v>
      </c>
      <c r="X40" s="21">
        <f>$Q40+V40</f>
        <v>143.5858106</v>
      </c>
      <c r="Y40" s="12">
        <f t="shared" si="29"/>
        <v>0.56925979166667973</v>
      </c>
      <c r="AB40" s="12">
        <f>AB36+((AB42-AB36)*(($D40-$D36)/($D42-$D36)))</f>
        <v>143.72146094965032</v>
      </c>
      <c r="AC40" s="12">
        <f t="shared" si="21"/>
        <v>0.67780145833333771</v>
      </c>
      <c r="AD40" s="21">
        <v>1</v>
      </c>
      <c r="AE40" s="21">
        <v>1.0900000000000001</v>
      </c>
      <c r="AF40" s="21">
        <f>$Q40+AD40</f>
        <v>144.12581059999999</v>
      </c>
      <c r="AG40" s="12">
        <f t="shared" si="26"/>
        <v>0.82894729166668502</v>
      </c>
      <c r="AI40" s="21">
        <f t="shared" si="4"/>
        <v>25.25</v>
      </c>
      <c r="AJ40" s="21">
        <f t="shared" si="5"/>
        <v>143.12581059999999</v>
      </c>
      <c r="AK40" s="21">
        <f t="shared" si="27"/>
        <v>143.465</v>
      </c>
      <c r="AL40" s="21">
        <f t="shared" si="25"/>
        <v>143.67230000000001</v>
      </c>
      <c r="AM40" s="21">
        <f t="shared" si="22"/>
        <v>143.7765</v>
      </c>
      <c r="AN40" s="21">
        <f t="shared" si="23"/>
        <v>143.92160000000001</v>
      </c>
    </row>
    <row r="41" spans="1:40" ht="14.5" customHeight="1" x14ac:dyDescent="0.35">
      <c r="A41" s="21" t="s">
        <v>67</v>
      </c>
      <c r="B41" s="21">
        <v>26</v>
      </c>
      <c r="C41" s="21">
        <v>6</v>
      </c>
      <c r="D41" s="21">
        <f t="shared" si="14"/>
        <v>26.5</v>
      </c>
      <c r="E41" s="21">
        <v>5.4</v>
      </c>
      <c r="F41" s="20"/>
      <c r="G41" s="20">
        <v>0.6</v>
      </c>
      <c r="H41" s="20">
        <v>0.4</v>
      </c>
      <c r="I41" s="20"/>
      <c r="J41" s="20"/>
      <c r="K41" s="20"/>
      <c r="L41" s="20"/>
      <c r="M41" s="20"/>
      <c r="N41" s="20"/>
      <c r="O41" s="20">
        <f t="shared" si="1"/>
        <v>1</v>
      </c>
      <c r="P41" s="20">
        <f t="shared" si="2"/>
        <v>26.5</v>
      </c>
      <c r="Q41" s="12">
        <f>$B$58-E41</f>
        <v>143.05981059999999</v>
      </c>
      <c r="T41" s="12">
        <f>T40+((T43-T40)*(($D41-$D40)/($D43-$D40)))</f>
        <v>143.45434906153847</v>
      </c>
      <c r="U41" s="12">
        <f t="shared" si="28"/>
        <v>0.43895518333334638</v>
      </c>
      <c r="X41" s="12">
        <f>X40+((X43-X40)*(($D41-$D40)/($D43-$D40)))</f>
        <v>143.58434906153846</v>
      </c>
      <c r="Y41" s="12">
        <f t="shared" si="29"/>
        <v>0.66353018333335034</v>
      </c>
      <c r="AB41" s="12">
        <f>AB36+((AB42-AB36)*(($D41-$D36)/($D42-$D36)))</f>
        <v>143.75334906153844</v>
      </c>
      <c r="AC41" s="12">
        <f t="shared" si="21"/>
        <v>0.77641351666667469</v>
      </c>
      <c r="AF41" s="12">
        <f>AF40+((AF43-AF40)*(($D41-$D40)/($D43-$D40)))</f>
        <v>144.10434906153847</v>
      </c>
      <c r="AG41" s="12">
        <f t="shared" si="26"/>
        <v>0.93360518333335618</v>
      </c>
      <c r="AI41" s="21">
        <f t="shared" si="4"/>
        <v>26.5</v>
      </c>
      <c r="AJ41" s="21">
        <f t="shared" si="5"/>
        <v>143.05981059999999</v>
      </c>
      <c r="AK41" s="21">
        <f t="shared" si="27"/>
        <v>143.465</v>
      </c>
      <c r="AL41" s="21">
        <f t="shared" si="25"/>
        <v>143.67230000000001</v>
      </c>
      <c r="AM41" s="21">
        <f t="shared" si="22"/>
        <v>143.7765</v>
      </c>
      <c r="AN41" s="21">
        <f t="shared" si="23"/>
        <v>143.92160000000001</v>
      </c>
    </row>
    <row r="42" spans="1:40" ht="14.5" customHeight="1" x14ac:dyDescent="0.35">
      <c r="A42" s="21" t="s">
        <v>83</v>
      </c>
      <c r="B42" s="21">
        <v>27</v>
      </c>
      <c r="C42" s="21">
        <v>5</v>
      </c>
      <c r="D42" s="21">
        <f t="shared" si="14"/>
        <v>27.416666666666668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f t="shared" si="2"/>
        <v>27.416666666666668</v>
      </c>
      <c r="Q42" s="12">
        <f>Q41+((Q44-Q41)*(($D42-$D41)/($D44-$D41)))</f>
        <v>143.07673367692306</v>
      </c>
      <c r="T42" s="12">
        <f>T40+((T43-T40)*(($D42-$D40)/($D43-$D40)))</f>
        <v>143.40194393333334</v>
      </c>
      <c r="U42" s="12">
        <f t="shared" si="28"/>
        <v>0.24266645192309255</v>
      </c>
      <c r="X42" s="12">
        <f>X40+((X43-X40)*(($D42-$D40)/($D43-$D40)))</f>
        <v>143.58327726666667</v>
      </c>
      <c r="Y42" s="12">
        <f t="shared" si="29"/>
        <v>0.3722289519230948</v>
      </c>
      <c r="Z42" s="21">
        <v>0.7</v>
      </c>
      <c r="AA42" s="21">
        <v>1.27</v>
      </c>
      <c r="AB42" s="21">
        <f>$Q42+Z42</f>
        <v>143.77673367692304</v>
      </c>
      <c r="AC42" s="12">
        <f t="shared" si="21"/>
        <v>0.43735395192308957</v>
      </c>
      <c r="AF42" s="12">
        <f>AF40+((AF43-AF40)*(($D42-$D40)/($D43-$D40)))</f>
        <v>144.08861060000001</v>
      </c>
      <c r="AG42" s="12">
        <f t="shared" si="26"/>
        <v>0.52804145192309804</v>
      </c>
      <c r="AI42" s="21">
        <f t="shared" si="4"/>
        <v>27.416666666666668</v>
      </c>
      <c r="AJ42" s="21">
        <f t="shared" si="5"/>
        <v>143.07673367692306</v>
      </c>
      <c r="AK42" s="21">
        <f t="shared" si="27"/>
        <v>143.465</v>
      </c>
      <c r="AL42" s="21">
        <f t="shared" si="25"/>
        <v>143.67230000000001</v>
      </c>
      <c r="AM42" s="21">
        <f t="shared" si="22"/>
        <v>143.7765</v>
      </c>
      <c r="AN42" s="21">
        <f t="shared" si="23"/>
        <v>143.92160000000001</v>
      </c>
    </row>
    <row r="43" spans="1:40" ht="14.5" customHeight="1" x14ac:dyDescent="0.35">
      <c r="A43" s="21" t="s">
        <v>85</v>
      </c>
      <c r="B43" s="21">
        <v>27</v>
      </c>
      <c r="C43" s="21">
        <v>9</v>
      </c>
      <c r="D43" s="21">
        <f t="shared" si="14"/>
        <v>27.75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f t="shared" si="2"/>
        <v>27.75</v>
      </c>
      <c r="Q43" s="12">
        <f>Q41+((Q44-Q41)*(($D43-$D41)/($D44-$D41)))</f>
        <v>143.08288752307692</v>
      </c>
      <c r="R43" s="21">
        <v>0.3</v>
      </c>
      <c r="S43" s="21">
        <v>0.65</v>
      </c>
      <c r="T43" s="21">
        <f>$Q43+R43</f>
        <v>143.38288752307693</v>
      </c>
      <c r="U43" s="12">
        <f t="shared" si="28"/>
        <v>0.23882029807692717</v>
      </c>
      <c r="V43" s="21">
        <v>0.5</v>
      </c>
      <c r="W43" s="21">
        <v>0.22</v>
      </c>
      <c r="X43" s="21">
        <f>$Q43+V43</f>
        <v>143.58288752307692</v>
      </c>
      <c r="Y43" s="12">
        <f t="shared" si="29"/>
        <v>0.36838279807692942</v>
      </c>
      <c r="AB43" s="12">
        <f>AB42+((AB45-AB42)*(($D43-$D42)/($D45-$D42)))</f>
        <v>143.87527618704451</v>
      </c>
      <c r="AC43" s="12">
        <f t="shared" si="21"/>
        <v>0.43350779807692419</v>
      </c>
      <c r="AD43" s="21">
        <v>1</v>
      </c>
      <c r="AE43" s="21">
        <v>0.3</v>
      </c>
      <c r="AF43" s="21">
        <f>$Q43+AD43</f>
        <v>144.08288752307692</v>
      </c>
      <c r="AG43" s="12">
        <f t="shared" si="26"/>
        <v>0.52419529807693266</v>
      </c>
      <c r="AI43" s="21">
        <f t="shared" si="4"/>
        <v>27.75</v>
      </c>
      <c r="AJ43" s="21">
        <f t="shared" si="5"/>
        <v>143.08288752307692</v>
      </c>
      <c r="AK43" s="21">
        <f t="shared" si="27"/>
        <v>143.465</v>
      </c>
      <c r="AL43" s="21">
        <f t="shared" si="25"/>
        <v>143.67230000000001</v>
      </c>
      <c r="AM43" s="21">
        <f t="shared" si="22"/>
        <v>143.7765</v>
      </c>
      <c r="AN43" s="21">
        <f t="shared" si="23"/>
        <v>143.92160000000001</v>
      </c>
    </row>
    <row r="44" spans="1:40" ht="14.5" customHeight="1" x14ac:dyDescent="0.35">
      <c r="A44" s="21" t="s">
        <v>67</v>
      </c>
      <c r="B44" s="21">
        <v>28</v>
      </c>
      <c r="C44" s="21">
        <v>8</v>
      </c>
      <c r="D44" s="21">
        <f t="shared" si="14"/>
        <v>28.666666666666668</v>
      </c>
      <c r="E44" s="21">
        <v>5.36</v>
      </c>
      <c r="F44" s="20"/>
      <c r="G44" s="20"/>
      <c r="H44" s="20"/>
      <c r="I44" s="20"/>
      <c r="J44" s="20"/>
      <c r="K44" s="20"/>
      <c r="L44" s="20"/>
      <c r="M44" s="20"/>
      <c r="N44" s="20">
        <v>1</v>
      </c>
      <c r="O44" s="20">
        <f t="shared" si="1"/>
        <v>1</v>
      </c>
      <c r="P44" s="20">
        <f t="shared" si="2"/>
        <v>28.666666666666668</v>
      </c>
      <c r="Q44" s="12">
        <f>$B$58-E44</f>
        <v>143.09981059999998</v>
      </c>
      <c r="T44" s="21">
        <v>143.38288752307693</v>
      </c>
      <c r="U44" s="12">
        <f t="shared" si="28"/>
        <v>0.22824337500001235</v>
      </c>
      <c r="X44" s="12">
        <f>X43+((X46-X43)*(($D44-$D43)/($D46-$D43)))</f>
        <v>144.04569401346151</v>
      </c>
      <c r="Y44" s="12">
        <f t="shared" si="29"/>
        <v>0.35780587500001459</v>
      </c>
      <c r="AB44" s="12">
        <f>AB42+((AB45-AB42)*(($D44-$D42)/($D45-$D42)))</f>
        <v>144.14626808987853</v>
      </c>
      <c r="AC44" s="12">
        <f t="shared" si="21"/>
        <v>0.42293087500000937</v>
      </c>
      <c r="AF44" s="12">
        <f>AF43+((AF49-AF43)*(($D44-$D43)/($D49-$D43)))</f>
        <v>144.02861696604774</v>
      </c>
      <c r="AG44" s="12">
        <f t="shared" si="26"/>
        <v>0.51361837500001783</v>
      </c>
      <c r="AI44" s="21">
        <f t="shared" si="4"/>
        <v>28.666666666666668</v>
      </c>
      <c r="AJ44" s="21">
        <f t="shared" si="5"/>
        <v>143.09981059999998</v>
      </c>
      <c r="AK44" s="21">
        <f t="shared" si="27"/>
        <v>143.465</v>
      </c>
      <c r="AL44" s="21">
        <f t="shared" si="25"/>
        <v>143.67230000000001</v>
      </c>
      <c r="AM44" s="21">
        <f t="shared" si="22"/>
        <v>143.7765</v>
      </c>
      <c r="AN44" s="21">
        <f t="shared" si="23"/>
        <v>143.92160000000001</v>
      </c>
    </row>
    <row r="45" spans="1:40" ht="14.5" customHeight="1" x14ac:dyDescent="0.35">
      <c r="A45" s="21" t="s">
        <v>83</v>
      </c>
      <c r="B45" s="21">
        <v>29</v>
      </c>
      <c r="C45" s="21">
        <v>0</v>
      </c>
      <c r="D45" s="21">
        <f t="shared" si="14"/>
        <v>29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>
        <f t="shared" si="2"/>
        <v>29</v>
      </c>
      <c r="Q45" s="12">
        <f>Q44+((Q47-Q44)*(($D45-$D44)/($D47-$D44)))</f>
        <v>143.54481060000001</v>
      </c>
      <c r="U45" s="12"/>
      <c r="X45" s="12">
        <f>X43+((X46-X43)*(($D45-$D43)/($D46-$D43)))</f>
        <v>144.2139872826923</v>
      </c>
      <c r="Y45" s="12"/>
      <c r="Z45" s="21">
        <v>0.7</v>
      </c>
      <c r="AB45" s="21">
        <f>$Q45+Z45</f>
        <v>144.24481059999999</v>
      </c>
      <c r="AC45" s="12">
        <f t="shared" si="21"/>
        <v>4.8268624999998344E-2</v>
      </c>
      <c r="AF45" s="12">
        <f>AF43+((AF49-AF43)*(($D45-$D43)/($D49-$D43)))</f>
        <v>144.00888221803714</v>
      </c>
      <c r="AG45" s="12">
        <f t="shared" si="26"/>
        <v>7.8497791666667663E-2</v>
      </c>
      <c r="AI45" s="21">
        <f t="shared" si="4"/>
        <v>29</v>
      </c>
      <c r="AJ45" s="21">
        <f t="shared" si="5"/>
        <v>143.54481060000001</v>
      </c>
      <c r="AK45" s="21">
        <f t="shared" si="27"/>
        <v>143.465</v>
      </c>
      <c r="AL45" s="21">
        <f t="shared" si="25"/>
        <v>143.67230000000001</v>
      </c>
      <c r="AM45" s="21">
        <f t="shared" si="22"/>
        <v>143.7765</v>
      </c>
      <c r="AN45" s="21">
        <f t="shared" si="23"/>
        <v>143.92160000000001</v>
      </c>
    </row>
    <row r="46" spans="1:40" ht="14.5" customHeight="1" x14ac:dyDescent="0.35">
      <c r="A46" s="21" t="s">
        <v>72</v>
      </c>
      <c r="B46" s="21">
        <v>29</v>
      </c>
      <c r="C46" s="21">
        <v>1</v>
      </c>
      <c r="D46" s="21">
        <f t="shared" si="14"/>
        <v>29.083333333333332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>
        <f t="shared" si="2"/>
        <v>29.083333333333332</v>
      </c>
      <c r="Q46" s="12">
        <f>Q44+((Q47-Q44)*(($D46-$D44)/($D47-$D44)))</f>
        <v>143.65606059999999</v>
      </c>
      <c r="V46" s="21">
        <v>0.6</v>
      </c>
      <c r="X46" s="21">
        <f>$Q46+V46</f>
        <v>144.25606059999998</v>
      </c>
      <c r="Y46" s="12"/>
      <c r="AB46" s="12">
        <f>AB45+((AB48-AB45)*(($D46-$D45)/($D48-$D45)))</f>
        <v>144.20096444615385</v>
      </c>
      <c r="AC46" s="12">
        <f t="shared" si="21"/>
        <v>2.007323333333481E-2</v>
      </c>
      <c r="AF46" s="12">
        <f>AF43+((AF49-AF43)*(($D46-$D43)/($D49-$D43)))</f>
        <v>144.0039485310345</v>
      </c>
      <c r="AG46" s="12">
        <f t="shared" si="26"/>
        <v>4.425656666667032E-2</v>
      </c>
      <c r="AI46" s="21">
        <f t="shared" si="4"/>
        <v>29.083333333333332</v>
      </c>
      <c r="AJ46" s="21">
        <f t="shared" si="5"/>
        <v>143.65606059999999</v>
      </c>
      <c r="AL46" s="21">
        <f t="shared" si="25"/>
        <v>143.67230000000001</v>
      </c>
      <c r="AM46" s="21">
        <f t="shared" si="22"/>
        <v>143.7765</v>
      </c>
      <c r="AN46" s="21">
        <f t="shared" si="23"/>
        <v>143.92160000000001</v>
      </c>
    </row>
    <row r="47" spans="1:40" ht="14.5" customHeight="1" x14ac:dyDescent="0.35">
      <c r="A47" s="21" t="s">
        <v>67</v>
      </c>
      <c r="B47" s="21">
        <v>29</v>
      </c>
      <c r="C47" s="21">
        <v>4</v>
      </c>
      <c r="D47" s="21">
        <f t="shared" si="14"/>
        <v>29.333333333333332</v>
      </c>
      <c r="E47" s="21">
        <v>4.47</v>
      </c>
      <c r="F47" s="20"/>
      <c r="G47" s="20"/>
      <c r="H47" s="20"/>
      <c r="I47" s="20"/>
      <c r="J47" s="20"/>
      <c r="K47" s="20"/>
      <c r="L47" s="20"/>
      <c r="M47" s="20"/>
      <c r="N47" s="20">
        <v>1</v>
      </c>
      <c r="O47" s="20">
        <f t="shared" si="1"/>
        <v>1</v>
      </c>
      <c r="P47" s="20">
        <f t="shared" si="2"/>
        <v>29.333333333333332</v>
      </c>
      <c r="Q47" s="12">
        <f>$B$58-E47</f>
        <v>143.9898106</v>
      </c>
      <c r="X47" s="21">
        <v>143.9898106</v>
      </c>
      <c r="Y47" s="12"/>
      <c r="AB47" s="12">
        <f>AB45+((AB48-AB45)*(($D47-$D45)/($D48-$D45)))</f>
        <v>144.06942598461538</v>
      </c>
      <c r="AC47" s="12">
        <f t="shared" si="21"/>
        <v>-0.1066552999999999</v>
      </c>
      <c r="AF47" s="12">
        <f>AF43+((AF49-AF43)*(($D47-$D43)/($D49-$D43)))</f>
        <v>143.98914747002652</v>
      </c>
      <c r="AG47" s="12">
        <f t="shared" si="26"/>
        <v>-3.4105299999993122E-2</v>
      </c>
      <c r="AI47" s="21">
        <f t="shared" si="4"/>
        <v>29.333333333333332</v>
      </c>
      <c r="AJ47" s="21">
        <f t="shared" si="5"/>
        <v>143.9898106</v>
      </c>
      <c r="AN47" s="21">
        <f t="shared" si="23"/>
        <v>143.92160000000001</v>
      </c>
    </row>
    <row r="48" spans="1:40" ht="14.5" customHeight="1" x14ac:dyDescent="0.35">
      <c r="A48" s="21" t="s">
        <v>83</v>
      </c>
      <c r="B48" s="21">
        <v>30</v>
      </c>
      <c r="C48" s="21">
        <v>1</v>
      </c>
      <c r="D48" s="21">
        <f t="shared" si="14"/>
        <v>30.083333333333332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>
        <f t="shared" si="2"/>
        <v>30.083333333333332</v>
      </c>
      <c r="Q48" s="12">
        <f>Q47+((Q49-Q47)*(($D48-$D47)/($D49-$D47)))</f>
        <v>143.6748106</v>
      </c>
      <c r="Z48" s="21">
        <v>0</v>
      </c>
      <c r="AB48" s="21">
        <f>$Q48+Z48</f>
        <v>143.6748106</v>
      </c>
      <c r="AC48" s="12">
        <f t="shared" si="21"/>
        <v>4.2370583333332594E-2</v>
      </c>
      <c r="AF48" s="12">
        <f>AF43+((AF49-AF43)*(($D48-$D43)/($D49-$D43)))</f>
        <v>143.94474428700266</v>
      </c>
      <c r="AG48" s="12">
        <f t="shared" si="26"/>
        <v>0.10282891666667174</v>
      </c>
      <c r="AI48" s="21">
        <f t="shared" si="4"/>
        <v>30.083333333333332</v>
      </c>
      <c r="AJ48" s="21">
        <f t="shared" si="5"/>
        <v>143.6748106</v>
      </c>
      <c r="AM48" s="21">
        <f>T2F3_Flat_Level</f>
        <v>143.7765</v>
      </c>
      <c r="AN48" s="21">
        <f t="shared" si="23"/>
        <v>143.92160000000001</v>
      </c>
    </row>
    <row r="49" spans="1:40" ht="14.5" customHeight="1" x14ac:dyDescent="0.35">
      <c r="A49" s="21" t="s">
        <v>125</v>
      </c>
      <c r="B49" s="21">
        <v>30</v>
      </c>
      <c r="C49" s="21">
        <v>2</v>
      </c>
      <c r="D49" s="21">
        <f t="shared" si="14"/>
        <v>30.166666666666668</v>
      </c>
      <c r="E49" s="21">
        <v>4.82</v>
      </c>
      <c r="F49" s="20"/>
      <c r="G49" s="20"/>
      <c r="H49" s="20"/>
      <c r="I49" s="20"/>
      <c r="J49" s="20"/>
      <c r="K49" s="20"/>
      <c r="L49" s="20">
        <v>1</v>
      </c>
      <c r="M49" s="20"/>
      <c r="N49" s="20"/>
      <c r="O49" s="20">
        <f t="shared" si="1"/>
        <v>1</v>
      </c>
      <c r="P49" s="20">
        <f t="shared" si="2"/>
        <v>30.166666666666668</v>
      </c>
      <c r="Q49" s="12">
        <f>$B$58-E49</f>
        <v>143.6398106</v>
      </c>
      <c r="AB49" s="12">
        <f>AB48+((AB50-AB48)*(($D49-$D48)/($D50-$D48)))</f>
        <v>143.75799241818183</v>
      </c>
      <c r="AC49" s="12">
        <f t="shared" si="21"/>
        <v>1.7086174999999315E-2</v>
      </c>
      <c r="AD49" s="21">
        <v>0.3</v>
      </c>
      <c r="AE49" s="21">
        <v>0.81</v>
      </c>
      <c r="AF49" s="21">
        <f>$Q49+AD49</f>
        <v>143.93981060000002</v>
      </c>
      <c r="AG49" s="12">
        <f t="shared" si="26"/>
        <v>3.5223675000001009E-2</v>
      </c>
      <c r="AI49" s="21">
        <f t="shared" si="4"/>
        <v>30.166666666666668</v>
      </c>
      <c r="AJ49" s="21">
        <f t="shared" si="5"/>
        <v>143.6398106</v>
      </c>
      <c r="AM49" s="21">
        <f>T2F3_Flat_Level</f>
        <v>143.7765</v>
      </c>
      <c r="AN49" s="21">
        <f t="shared" si="23"/>
        <v>143.92160000000001</v>
      </c>
    </row>
    <row r="50" spans="1:40" ht="14.5" customHeight="1" x14ac:dyDescent="0.35">
      <c r="A50" s="21" t="s">
        <v>83</v>
      </c>
      <c r="B50" s="21">
        <v>30</v>
      </c>
      <c r="C50" s="21">
        <v>4</v>
      </c>
      <c r="D50" s="21">
        <f t="shared" si="14"/>
        <v>30.333333333333332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>
        <f t="shared" si="2"/>
        <v>30.333333333333332</v>
      </c>
      <c r="Q50" s="12">
        <f>Q49+((Q52-Q49)*(($D50-$D49)/($D52-$D49)))</f>
        <v>143.68435605454545</v>
      </c>
      <c r="Z50" s="21">
        <v>0.24</v>
      </c>
      <c r="AA50" s="21">
        <v>0.26</v>
      </c>
      <c r="AB50" s="21">
        <f>$Q50+Z50</f>
        <v>143.92435605454546</v>
      </c>
      <c r="AC50" s="12">
        <f t="shared" si="21"/>
        <v>2.3035986363638017E-2</v>
      </c>
      <c r="AF50" s="21">
        <v>143.94474428700266</v>
      </c>
      <c r="AG50" s="12">
        <f t="shared" si="26"/>
        <v>5.9310986363641405E-2</v>
      </c>
      <c r="AI50" s="21">
        <f t="shared" si="4"/>
        <v>30.333333333333332</v>
      </c>
      <c r="AJ50" s="21">
        <f t="shared" si="5"/>
        <v>143.68435605454545</v>
      </c>
      <c r="AM50" s="21">
        <f>T2F3_Flat_Level</f>
        <v>143.7765</v>
      </c>
      <c r="AN50" s="21">
        <f t="shared" si="23"/>
        <v>143.92160000000001</v>
      </c>
    </row>
    <row r="51" spans="1:40" ht="14.5" customHeight="1" x14ac:dyDescent="0.35">
      <c r="A51" s="21" t="s">
        <v>83</v>
      </c>
      <c r="B51" s="21">
        <v>30</v>
      </c>
      <c r="C51" s="21">
        <v>8</v>
      </c>
      <c r="D51" s="21">
        <f t="shared" si="14"/>
        <v>30.666666666666668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>
        <f t="shared" si="2"/>
        <v>30.666666666666668</v>
      </c>
      <c r="Q51" s="12">
        <f>Q49+((Q52-Q49)*(($D51-$D49)/($D52-$D49)))</f>
        <v>143.77344696363636</v>
      </c>
      <c r="Z51" s="21">
        <v>0</v>
      </c>
      <c r="AB51" s="21">
        <f>$Q51+Z51</f>
        <v>143.77344696363636</v>
      </c>
      <c r="AC51" s="12">
        <f t="shared" si="21"/>
        <v>2.5441969696989512E-3</v>
      </c>
      <c r="AF51" s="21">
        <v>143.94474428700266</v>
      </c>
      <c r="AG51" s="12">
        <f t="shared" si="26"/>
        <v>0.123460863636377</v>
      </c>
      <c r="AI51" s="21">
        <f t="shared" si="4"/>
        <v>30.666666666666668</v>
      </c>
      <c r="AJ51" s="21">
        <f t="shared" si="5"/>
        <v>143.77344696363636</v>
      </c>
      <c r="AM51" s="21">
        <f>T2F3_Flat_Level</f>
        <v>143.7765</v>
      </c>
      <c r="AN51" s="21">
        <f t="shared" si="23"/>
        <v>143.92160000000001</v>
      </c>
    </row>
    <row r="52" spans="1:40" ht="14.5" customHeight="1" x14ac:dyDescent="0.35">
      <c r="A52" s="21" t="s">
        <v>67</v>
      </c>
      <c r="B52" s="21">
        <v>32</v>
      </c>
      <c r="C52" s="21">
        <v>0</v>
      </c>
      <c r="D52" s="21">
        <f t="shared" si="14"/>
        <v>32</v>
      </c>
      <c r="E52" s="21">
        <v>4.33</v>
      </c>
      <c r="F52" s="20"/>
      <c r="G52" s="20"/>
      <c r="H52" s="20"/>
      <c r="I52" s="20"/>
      <c r="J52" s="20"/>
      <c r="K52" s="20"/>
      <c r="L52" s="20">
        <v>1</v>
      </c>
      <c r="M52" s="20"/>
      <c r="N52" s="20"/>
      <c r="O52" s="20">
        <f t="shared" si="1"/>
        <v>1</v>
      </c>
      <c r="P52" s="20">
        <f t="shared" si="2"/>
        <v>32</v>
      </c>
      <c r="Q52" s="12">
        <f>$B$58-E52</f>
        <v>144.12981059999998</v>
      </c>
      <c r="AF52" s="21">
        <v>143.94474428700266</v>
      </c>
      <c r="AG52" s="12">
        <f t="shared" si="26"/>
        <v>-0.39907031666661402</v>
      </c>
      <c r="AI52" s="21">
        <f t="shared" si="4"/>
        <v>32</v>
      </c>
      <c r="AJ52" s="21">
        <f t="shared" si="5"/>
        <v>144.12981059999998</v>
      </c>
    </row>
    <row r="53" spans="1:40" ht="14.5" customHeight="1" x14ac:dyDescent="0.35">
      <c r="A53" s="21" t="s">
        <v>67</v>
      </c>
      <c r="B53" s="21">
        <v>34</v>
      </c>
      <c r="C53" s="21">
        <v>6</v>
      </c>
      <c r="D53" s="21">
        <f t="shared" si="14"/>
        <v>34.5</v>
      </c>
      <c r="E53" s="21">
        <v>4.1500000000000004</v>
      </c>
      <c r="F53" s="20"/>
      <c r="G53" s="20"/>
      <c r="H53" s="20"/>
      <c r="I53" s="20"/>
      <c r="J53" s="20">
        <v>0.5</v>
      </c>
      <c r="K53" s="20">
        <v>0.5</v>
      </c>
      <c r="L53" s="20"/>
      <c r="M53" s="20"/>
      <c r="N53" s="20"/>
      <c r="O53" s="20">
        <f t="shared" si="1"/>
        <v>1</v>
      </c>
      <c r="P53" s="20">
        <f t="shared" si="2"/>
        <v>34.5</v>
      </c>
      <c r="Q53" s="12">
        <f>$B$58-E53</f>
        <v>144.30981059999999</v>
      </c>
      <c r="AI53" s="21">
        <f t="shared" si="4"/>
        <v>34.5</v>
      </c>
      <c r="AJ53" s="21">
        <f t="shared" si="5"/>
        <v>144.30981059999999</v>
      </c>
    </row>
    <row r="54" spans="1:40" ht="14.5" customHeight="1" x14ac:dyDescent="0.35">
      <c r="A54" s="21" t="s">
        <v>67</v>
      </c>
      <c r="B54" s="21">
        <v>35</v>
      </c>
      <c r="C54" s="21">
        <v>10</v>
      </c>
      <c r="D54" s="21">
        <f t="shared" si="14"/>
        <v>35.833333333333336</v>
      </c>
      <c r="E54" s="21">
        <v>3.54</v>
      </c>
      <c r="F54" s="20">
        <v>0.2</v>
      </c>
      <c r="G54" s="20"/>
      <c r="H54" s="20"/>
      <c r="I54" s="20">
        <v>0.8</v>
      </c>
      <c r="J54" s="20"/>
      <c r="K54" s="20"/>
      <c r="L54" s="20"/>
      <c r="M54" s="20"/>
      <c r="N54" s="20"/>
      <c r="O54" s="20">
        <f t="shared" si="1"/>
        <v>1</v>
      </c>
      <c r="P54" s="20">
        <f t="shared" si="2"/>
        <v>35.833333333333336</v>
      </c>
      <c r="Q54" s="12">
        <f>$B$58-E54</f>
        <v>144.91981060000001</v>
      </c>
      <c r="AI54" s="21">
        <f t="shared" si="4"/>
        <v>35.833333333333336</v>
      </c>
      <c r="AJ54" s="21">
        <f t="shared" si="5"/>
        <v>144.91981060000001</v>
      </c>
    </row>
    <row r="55" spans="1:40" ht="14.5" customHeight="1" x14ac:dyDescent="0.35"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40" ht="14.5" customHeight="1" x14ac:dyDescent="0.35">
      <c r="A56" s="12" t="s">
        <v>55</v>
      </c>
      <c r="B56" s="12">
        <v>146.8298106</v>
      </c>
      <c r="C56" s="12" t="s">
        <v>58</v>
      </c>
      <c r="D56" s="21" t="s">
        <v>162</v>
      </c>
      <c r="E56" s="21">
        <f>D48-D5</f>
        <v>24.666666666666664</v>
      </c>
      <c r="F56" s="20" t="s">
        <v>58</v>
      </c>
      <c r="G56" s="20"/>
      <c r="H56" s="12" t="s">
        <v>176</v>
      </c>
      <c r="I56" s="12" t="s">
        <v>167</v>
      </c>
      <c r="J56" s="12" t="s">
        <v>168</v>
      </c>
      <c r="K56" s="12" t="s">
        <v>169</v>
      </c>
      <c r="L56" s="12" t="s">
        <v>170</v>
      </c>
      <c r="M56" s="12" t="s">
        <v>171</v>
      </c>
      <c r="N56" s="12" t="s">
        <v>179</v>
      </c>
      <c r="O56" s="12" t="s">
        <v>180</v>
      </c>
      <c r="P56" s="32" t="s">
        <v>181</v>
      </c>
    </row>
    <row r="57" spans="1:40" ht="14.5" customHeight="1" x14ac:dyDescent="0.35">
      <c r="A57" s="12" t="s">
        <v>57</v>
      </c>
      <c r="B57" s="12">
        <v>1.63</v>
      </c>
      <c r="C57" s="12" t="s">
        <v>58</v>
      </c>
      <c r="F57" s="20"/>
      <c r="G57" s="20" t="s">
        <v>166</v>
      </c>
      <c r="H57" s="18">
        <v>143.465</v>
      </c>
      <c r="I57" s="24">
        <v>22.833333333333332</v>
      </c>
      <c r="J57" s="18">
        <v>10.499999999999996</v>
      </c>
      <c r="K57" s="18">
        <v>4.8183333333333325</v>
      </c>
      <c r="L57" s="18">
        <v>4.147783333333332</v>
      </c>
      <c r="M57" s="18">
        <v>0.45888888888888896</v>
      </c>
      <c r="N57" s="18">
        <v>0.86083362158422683</v>
      </c>
      <c r="O57" s="36">
        <v>0.84307692307692306</v>
      </c>
      <c r="P57" s="32">
        <v>0.74</v>
      </c>
    </row>
    <row r="58" spans="1:40" ht="14.5" customHeight="1" x14ac:dyDescent="0.35">
      <c r="A58" s="12" t="s">
        <v>59</v>
      </c>
      <c r="B58" s="12">
        <f>B56+B57</f>
        <v>148.4598106</v>
      </c>
      <c r="C58" s="12" t="s">
        <v>58</v>
      </c>
      <c r="F58" s="20"/>
      <c r="G58" s="26" t="s">
        <v>172</v>
      </c>
      <c r="H58" s="18">
        <v>143.67230000000001</v>
      </c>
      <c r="I58" s="18">
        <v>23.916666666666664</v>
      </c>
      <c r="J58" s="18">
        <v>12.333333333333329</v>
      </c>
      <c r="K58" s="18">
        <v>7.8141666666666634</v>
      </c>
      <c r="L58" s="18">
        <v>5.854241666666665</v>
      </c>
      <c r="M58" s="18">
        <v>0.63358108108108102</v>
      </c>
      <c r="N58" s="18">
        <v>0.74918310760371132</v>
      </c>
      <c r="O58" s="36">
        <v>0.88307692307692298</v>
      </c>
      <c r="P58" s="32">
        <v>0.91</v>
      </c>
    </row>
    <row r="59" spans="1:40" ht="14.5" customHeight="1" x14ac:dyDescent="0.35">
      <c r="A59" s="12"/>
      <c r="B59" s="12"/>
      <c r="C59" s="12"/>
      <c r="F59" s="20"/>
      <c r="G59" s="26" t="s">
        <v>173</v>
      </c>
      <c r="H59" s="18">
        <v>143.7765</v>
      </c>
      <c r="I59" s="18">
        <v>26</v>
      </c>
      <c r="J59" s="18">
        <v>14.916666666666664</v>
      </c>
      <c r="K59" s="18">
        <v>9.48</v>
      </c>
      <c r="L59" s="18">
        <v>12.441425000000001</v>
      </c>
      <c r="M59" s="18">
        <v>0.63553072625698337</v>
      </c>
      <c r="N59" s="18">
        <v>1.3123866033755274</v>
      </c>
      <c r="O59" s="36">
        <v>0.96000000000000008</v>
      </c>
      <c r="P59" s="32">
        <v>1.27</v>
      </c>
    </row>
    <row r="60" spans="1:40" ht="14.5" customHeight="1" x14ac:dyDescent="0.35">
      <c r="F60" s="20"/>
      <c r="G60" s="26" t="s">
        <v>174</v>
      </c>
      <c r="H60" s="18">
        <v>143.92160000000001</v>
      </c>
      <c r="I60" s="24">
        <v>26.833333333333332</v>
      </c>
      <c r="J60" s="18">
        <v>15.499999999999998</v>
      </c>
      <c r="K60" s="18">
        <v>11.547499999999999</v>
      </c>
      <c r="L60" s="18">
        <v>19.167208333333328</v>
      </c>
      <c r="M60" s="18">
        <v>0.745</v>
      </c>
      <c r="N60" s="18">
        <v>1.6598578335859129</v>
      </c>
      <c r="O60" s="36">
        <v>0.99076923076923074</v>
      </c>
      <c r="P60" s="32">
        <v>1.35</v>
      </c>
    </row>
    <row r="61" spans="1:40" ht="14.5" customHeight="1" x14ac:dyDescent="0.35">
      <c r="B61" s="12"/>
      <c r="C61" s="12"/>
      <c r="D61" s="15"/>
      <c r="E61" s="12"/>
      <c r="F61" s="12"/>
      <c r="G61" s="12"/>
      <c r="H61" s="12"/>
      <c r="I61" s="12"/>
      <c r="J61" s="12"/>
      <c r="K61" s="12"/>
      <c r="L61" s="12"/>
    </row>
    <row r="62" spans="1:40" ht="14.5" customHeight="1" x14ac:dyDescent="0.35">
      <c r="A62" s="12" t="s">
        <v>104</v>
      </c>
      <c r="B62" s="12"/>
      <c r="C62" s="17" t="s">
        <v>13</v>
      </c>
      <c r="D62" s="17" t="s">
        <v>29</v>
      </c>
      <c r="E62" s="12" t="s">
        <v>7</v>
      </c>
      <c r="F62" s="12" t="s">
        <v>3</v>
      </c>
      <c r="G62" s="12"/>
      <c r="H62" s="12" t="s">
        <v>96</v>
      </c>
      <c r="I62" s="12" t="s">
        <v>6</v>
      </c>
      <c r="J62" s="12" t="s">
        <v>94</v>
      </c>
      <c r="K62" s="12" t="s">
        <v>7</v>
      </c>
      <c r="L62" s="12" t="s">
        <v>95</v>
      </c>
      <c r="M62" s="21" t="s">
        <v>127</v>
      </c>
    </row>
    <row r="63" spans="1:40" ht="14.5" customHeight="1" x14ac:dyDescent="0.35">
      <c r="A63" s="21">
        <v>5</v>
      </c>
      <c r="B63" s="21">
        <v>5</v>
      </c>
      <c r="C63" s="21">
        <f t="shared" ref="C63" si="30">A63+(B63/12)</f>
        <v>5.416666666666667</v>
      </c>
      <c r="F63" s="21" t="s">
        <v>37</v>
      </c>
      <c r="H63" s="21">
        <f>C63</f>
        <v>5.416666666666667</v>
      </c>
      <c r="I63" s="21">
        <v>0</v>
      </c>
      <c r="J63" s="21">
        <v>0</v>
      </c>
      <c r="K63" s="21">
        <f>E63</f>
        <v>0</v>
      </c>
      <c r="L63" s="21">
        <f>J63*K63</f>
        <v>0</v>
      </c>
    </row>
    <row r="64" spans="1:40" ht="14.5" customHeight="1" x14ac:dyDescent="0.35">
      <c r="A64" s="21">
        <v>5</v>
      </c>
      <c r="B64" s="21">
        <v>8</v>
      </c>
      <c r="C64" s="21">
        <f t="shared" ref="C64:C69" si="31">A64+(B64/12)</f>
        <v>5.666666666666667</v>
      </c>
      <c r="D64" s="21">
        <v>0.32</v>
      </c>
      <c r="E64" s="21">
        <v>0.1</v>
      </c>
      <c r="H64" s="21">
        <f t="shared" ref="H64:I79" si="32">C64</f>
        <v>5.666666666666667</v>
      </c>
      <c r="I64" s="21">
        <f t="shared" si="32"/>
        <v>0.32</v>
      </c>
      <c r="J64" s="18">
        <f>((H64-H63)+((H65-H64)/2))*I64</f>
        <v>0.24</v>
      </c>
      <c r="K64" s="21">
        <f t="shared" ref="K64:K79" si="33">E64</f>
        <v>0.1</v>
      </c>
      <c r="L64" s="21">
        <f t="shared" ref="L64:L79" si="34">J64*K64</f>
        <v>2.4E-2</v>
      </c>
    </row>
    <row r="65" spans="1:13" ht="14.5" customHeight="1" x14ac:dyDescent="0.35">
      <c r="A65" s="21">
        <v>6</v>
      </c>
      <c r="B65" s="21">
        <v>8</v>
      </c>
      <c r="C65" s="21">
        <f t="shared" si="31"/>
        <v>6.666666666666667</v>
      </c>
      <c r="D65" s="21">
        <v>0.36</v>
      </c>
      <c r="E65" s="21">
        <v>0.63</v>
      </c>
      <c r="H65" s="21">
        <f t="shared" si="32"/>
        <v>6.666666666666667</v>
      </c>
      <c r="I65" s="21">
        <f t="shared" si="32"/>
        <v>0.36</v>
      </c>
      <c r="J65" s="18">
        <f>((H66-H64)/2)*I65</f>
        <v>0.53999999999999981</v>
      </c>
      <c r="K65" s="21">
        <f t="shared" si="33"/>
        <v>0.63</v>
      </c>
      <c r="L65" s="21">
        <f t="shared" si="34"/>
        <v>0.34019999999999989</v>
      </c>
    </row>
    <row r="66" spans="1:13" ht="14.5" customHeight="1" x14ac:dyDescent="0.35">
      <c r="A66" s="21">
        <v>8</v>
      </c>
      <c r="B66" s="21">
        <v>8</v>
      </c>
      <c r="C66" s="21">
        <f t="shared" si="31"/>
        <v>8.6666666666666661</v>
      </c>
      <c r="D66" s="21">
        <v>0.74</v>
      </c>
      <c r="E66" s="21">
        <v>1.05</v>
      </c>
      <c r="H66" s="21">
        <f t="shared" si="32"/>
        <v>8.6666666666666661</v>
      </c>
      <c r="I66" s="21">
        <f t="shared" si="32"/>
        <v>0.74</v>
      </c>
      <c r="J66" s="18">
        <f>((H67-H66)+((H66-H65)/2))*I66</f>
        <v>1.4799999999999998</v>
      </c>
      <c r="K66" s="21">
        <f t="shared" si="33"/>
        <v>1.05</v>
      </c>
      <c r="L66" s="21">
        <f t="shared" si="34"/>
        <v>1.5539999999999998</v>
      </c>
    </row>
    <row r="67" spans="1:13" ht="14.5" customHeight="1" x14ac:dyDescent="0.35">
      <c r="A67" s="21">
        <v>9</v>
      </c>
      <c r="B67" s="21">
        <v>8</v>
      </c>
      <c r="C67" s="21">
        <f t="shared" si="31"/>
        <v>9.6666666666666661</v>
      </c>
      <c r="F67" s="21" t="s">
        <v>20</v>
      </c>
      <c r="H67" s="21">
        <f t="shared" si="32"/>
        <v>9.6666666666666661</v>
      </c>
      <c r="I67" s="21">
        <f t="shared" si="32"/>
        <v>0</v>
      </c>
      <c r="K67" s="21">
        <f t="shared" si="33"/>
        <v>0</v>
      </c>
      <c r="L67" s="21">
        <f t="shared" si="34"/>
        <v>0</v>
      </c>
      <c r="M67" s="21">
        <f>H67-H63</f>
        <v>4.2499999999999991</v>
      </c>
    </row>
    <row r="68" spans="1:13" ht="14.5" customHeight="1" x14ac:dyDescent="0.35">
      <c r="A68" s="21">
        <v>12</v>
      </c>
      <c r="B68" s="21">
        <v>0</v>
      </c>
      <c r="C68" s="21">
        <f t="shared" si="31"/>
        <v>12</v>
      </c>
      <c r="F68" s="21" t="s">
        <v>37</v>
      </c>
      <c r="H68" s="21">
        <f t="shared" si="32"/>
        <v>12</v>
      </c>
      <c r="I68" s="21">
        <f t="shared" si="32"/>
        <v>0</v>
      </c>
      <c r="K68" s="21">
        <f t="shared" si="33"/>
        <v>0</v>
      </c>
      <c r="L68" s="21">
        <f t="shared" si="34"/>
        <v>0</v>
      </c>
    </row>
    <row r="69" spans="1:13" ht="14.5" customHeight="1" x14ac:dyDescent="0.35">
      <c r="A69" s="21">
        <v>13</v>
      </c>
      <c r="B69" s="21">
        <v>2</v>
      </c>
      <c r="C69" s="21">
        <f t="shared" si="31"/>
        <v>13.166666666666666</v>
      </c>
      <c r="D69" s="21">
        <v>0.74</v>
      </c>
      <c r="E69" s="21">
        <v>0.8</v>
      </c>
      <c r="H69" s="21">
        <f t="shared" si="32"/>
        <v>13.166666666666666</v>
      </c>
      <c r="I69" s="21">
        <f t="shared" si="32"/>
        <v>0.74</v>
      </c>
      <c r="J69" s="18">
        <f>(H70-H68)*I69</f>
        <v>1.2333333333333329</v>
      </c>
      <c r="K69" s="21">
        <f t="shared" si="33"/>
        <v>0.8</v>
      </c>
      <c r="L69" s="21">
        <f t="shared" si="34"/>
        <v>0.98666666666666636</v>
      </c>
    </row>
    <row r="70" spans="1:13" ht="14.5" customHeight="1" x14ac:dyDescent="0.35">
      <c r="A70" s="21">
        <v>13</v>
      </c>
      <c r="B70" s="21">
        <v>8</v>
      </c>
      <c r="C70" s="21">
        <f t="shared" ref="C70:C71" si="35">A70+(B70/12)</f>
        <v>13.666666666666666</v>
      </c>
      <c r="F70" s="21" t="s">
        <v>20</v>
      </c>
      <c r="H70" s="21">
        <f t="shared" si="32"/>
        <v>13.666666666666666</v>
      </c>
      <c r="I70" s="21">
        <f t="shared" si="32"/>
        <v>0</v>
      </c>
      <c r="K70" s="21">
        <f t="shared" si="33"/>
        <v>0</v>
      </c>
      <c r="L70" s="21">
        <f t="shared" si="34"/>
        <v>0</v>
      </c>
      <c r="M70" s="21">
        <f>H70-H68</f>
        <v>1.6666666666666661</v>
      </c>
    </row>
    <row r="71" spans="1:13" ht="14.5" customHeight="1" x14ac:dyDescent="0.35">
      <c r="A71" s="21">
        <v>20</v>
      </c>
      <c r="B71" s="21">
        <v>2</v>
      </c>
      <c r="C71" s="21">
        <f t="shared" si="35"/>
        <v>20.166666666666668</v>
      </c>
      <c r="F71" s="21" t="s">
        <v>37</v>
      </c>
      <c r="H71" s="21">
        <f t="shared" si="32"/>
        <v>20.166666666666668</v>
      </c>
      <c r="I71" s="21">
        <f t="shared" si="32"/>
        <v>0</v>
      </c>
      <c r="K71" s="21">
        <f t="shared" si="33"/>
        <v>0</v>
      </c>
      <c r="L71" s="21">
        <f t="shared" si="34"/>
        <v>0</v>
      </c>
    </row>
    <row r="72" spans="1:13" ht="14.5" customHeight="1" x14ac:dyDescent="0.35">
      <c r="A72" s="21">
        <v>21</v>
      </c>
      <c r="B72" s="21">
        <v>6</v>
      </c>
      <c r="C72" s="21">
        <f>A72+(B72/12)</f>
        <v>21.5</v>
      </c>
      <c r="D72" s="21">
        <v>0.2</v>
      </c>
      <c r="E72" s="21">
        <v>0.35</v>
      </c>
      <c r="H72" s="21">
        <f t="shared" si="32"/>
        <v>21.5</v>
      </c>
      <c r="I72" s="21">
        <f t="shared" si="32"/>
        <v>0.2</v>
      </c>
      <c r="J72" s="18">
        <f>(H73-H71)*I72</f>
        <v>0.41666666666666646</v>
      </c>
      <c r="K72" s="21">
        <f t="shared" si="33"/>
        <v>0.35</v>
      </c>
      <c r="L72" s="21">
        <f t="shared" si="34"/>
        <v>0.14583333333333326</v>
      </c>
    </row>
    <row r="73" spans="1:13" ht="14.5" customHeight="1" x14ac:dyDescent="0.35">
      <c r="A73" s="21">
        <v>22</v>
      </c>
      <c r="B73" s="21">
        <v>3</v>
      </c>
      <c r="C73" s="21">
        <f>A73+(B73/12)</f>
        <v>22.25</v>
      </c>
      <c r="F73" s="21" t="s">
        <v>20</v>
      </c>
      <c r="H73" s="21">
        <f t="shared" si="32"/>
        <v>22.25</v>
      </c>
      <c r="I73" s="21">
        <f t="shared" si="32"/>
        <v>0</v>
      </c>
      <c r="K73" s="21">
        <f t="shared" si="33"/>
        <v>0</v>
      </c>
      <c r="L73" s="21">
        <f t="shared" si="34"/>
        <v>0</v>
      </c>
      <c r="M73" s="21">
        <f>H73-H71</f>
        <v>2.0833333333333321</v>
      </c>
    </row>
    <row r="74" spans="1:13" ht="14.5" customHeight="1" x14ac:dyDescent="0.35">
      <c r="A74" s="21">
        <v>24</v>
      </c>
      <c r="B74" s="21">
        <v>5</v>
      </c>
      <c r="C74" s="21">
        <f>A74+(B74/12)</f>
        <v>24.416666666666668</v>
      </c>
      <c r="F74" s="21" t="s">
        <v>37</v>
      </c>
      <c r="H74" s="21">
        <f t="shared" si="32"/>
        <v>24.416666666666668</v>
      </c>
      <c r="I74" s="21">
        <f t="shared" si="32"/>
        <v>0</v>
      </c>
      <c r="K74" s="21">
        <f t="shared" si="33"/>
        <v>0</v>
      </c>
      <c r="L74" s="21">
        <f t="shared" si="34"/>
        <v>0</v>
      </c>
    </row>
    <row r="75" spans="1:13" ht="14.5" customHeight="1" x14ac:dyDescent="0.35">
      <c r="A75" s="21">
        <v>25</v>
      </c>
      <c r="B75" s="21">
        <v>3</v>
      </c>
      <c r="C75" s="21">
        <f t="shared" ref="C75:C78" si="36">A75+(B75/12)</f>
        <v>25.25</v>
      </c>
      <c r="D75" s="21">
        <v>0.4</v>
      </c>
      <c r="E75" s="21">
        <v>1.45</v>
      </c>
      <c r="H75" s="21">
        <f t="shared" si="32"/>
        <v>25.25</v>
      </c>
      <c r="I75" s="21">
        <f t="shared" si="32"/>
        <v>0.4</v>
      </c>
      <c r="J75" s="18">
        <f>(H76-H74)*I75</f>
        <v>0.63333333333333286</v>
      </c>
      <c r="K75" s="21">
        <f t="shared" si="33"/>
        <v>1.45</v>
      </c>
      <c r="L75" s="21">
        <f t="shared" si="34"/>
        <v>0.91833333333333267</v>
      </c>
    </row>
    <row r="76" spans="1:13" ht="14.5" customHeight="1" x14ac:dyDescent="0.35">
      <c r="A76" s="21">
        <v>26</v>
      </c>
      <c r="B76" s="21">
        <v>0</v>
      </c>
      <c r="C76" s="21">
        <f>A76+(B76/12)</f>
        <v>26</v>
      </c>
      <c r="F76" s="21" t="s">
        <v>20</v>
      </c>
      <c r="H76" s="21">
        <f t="shared" si="32"/>
        <v>26</v>
      </c>
      <c r="I76" s="21">
        <f t="shared" si="32"/>
        <v>0</v>
      </c>
      <c r="K76" s="21">
        <f t="shared" si="33"/>
        <v>0</v>
      </c>
      <c r="L76" s="21">
        <f t="shared" si="34"/>
        <v>0</v>
      </c>
      <c r="M76" s="21">
        <f>H76-H74</f>
        <v>1.5833333333333321</v>
      </c>
    </row>
    <row r="77" spans="1:13" ht="14.5" customHeight="1" x14ac:dyDescent="0.35">
      <c r="A77" s="21">
        <v>27</v>
      </c>
      <c r="B77" s="21">
        <v>4</v>
      </c>
      <c r="C77" s="21">
        <f>A77+(B77/12)</f>
        <v>27.333333333333332</v>
      </c>
      <c r="F77" s="21" t="s">
        <v>37</v>
      </c>
      <c r="H77" s="21">
        <f t="shared" si="32"/>
        <v>27.333333333333332</v>
      </c>
      <c r="I77" s="21">
        <f t="shared" si="32"/>
        <v>0</v>
      </c>
      <c r="K77" s="21">
        <f t="shared" si="33"/>
        <v>0</v>
      </c>
      <c r="L77" s="21">
        <f t="shared" si="34"/>
        <v>0</v>
      </c>
    </row>
    <row r="78" spans="1:13" ht="14.5" customHeight="1" x14ac:dyDescent="0.35">
      <c r="A78" s="21">
        <v>27</v>
      </c>
      <c r="B78" s="21">
        <v>9</v>
      </c>
      <c r="C78" s="21">
        <f t="shared" si="36"/>
        <v>27.75</v>
      </c>
      <c r="D78" s="21">
        <v>0.3</v>
      </c>
      <c r="E78" s="21">
        <v>0.65</v>
      </c>
      <c r="H78" s="21">
        <f t="shared" si="32"/>
        <v>27.75</v>
      </c>
      <c r="I78" s="21">
        <f t="shared" si="32"/>
        <v>0.3</v>
      </c>
      <c r="J78" s="18">
        <f>(H79-H77)*I78</f>
        <v>0.27500000000000036</v>
      </c>
      <c r="K78" s="21">
        <f t="shared" si="33"/>
        <v>0.65</v>
      </c>
      <c r="L78" s="21">
        <f t="shared" si="34"/>
        <v>0.17875000000000024</v>
      </c>
    </row>
    <row r="79" spans="1:13" ht="14.5" customHeight="1" x14ac:dyDescent="0.35">
      <c r="A79" s="21">
        <v>28</v>
      </c>
      <c r="B79" s="21">
        <v>3</v>
      </c>
      <c r="C79" s="21">
        <f>A79+(B79/12)</f>
        <v>28.25</v>
      </c>
      <c r="F79" s="21" t="s">
        <v>20</v>
      </c>
      <c r="H79" s="21">
        <f t="shared" si="32"/>
        <v>28.25</v>
      </c>
      <c r="I79" s="21">
        <f t="shared" si="32"/>
        <v>0</v>
      </c>
      <c r="K79" s="21">
        <f t="shared" si="33"/>
        <v>0</v>
      </c>
      <c r="L79" s="21">
        <f t="shared" si="34"/>
        <v>0</v>
      </c>
      <c r="M79" s="21">
        <f>H79-H77</f>
        <v>0.91666666666666785</v>
      </c>
    </row>
    <row r="81" spans="1:13" ht="14.5" customHeight="1" x14ac:dyDescent="0.35">
      <c r="A81" s="16" t="s">
        <v>97</v>
      </c>
      <c r="B81" s="24">
        <f>SUM(J63:J79)</f>
        <v>4.8183333333333325</v>
      </c>
      <c r="C81" s="12" t="s">
        <v>101</v>
      </c>
      <c r="D81" s="18" t="s">
        <v>111</v>
      </c>
      <c r="E81" s="12">
        <v>143.465</v>
      </c>
      <c r="F81" s="12" t="s">
        <v>58</v>
      </c>
      <c r="G81" s="12"/>
      <c r="H81" s="20"/>
    </row>
    <row r="82" spans="1:13" ht="14.5" customHeight="1" x14ac:dyDescent="0.35">
      <c r="A82" s="12" t="s">
        <v>99</v>
      </c>
      <c r="B82" s="18">
        <f>SUM(L63:L79)</f>
        <v>4.147783333333332</v>
      </c>
      <c r="C82" s="12" t="s">
        <v>100</v>
      </c>
      <c r="D82" s="18" t="s">
        <v>94</v>
      </c>
      <c r="E82" s="12">
        <f>SUM(U:U)</f>
        <v>4.8174248601853105</v>
      </c>
      <c r="F82" s="12" t="s">
        <v>101</v>
      </c>
      <c r="G82" s="12"/>
      <c r="H82" s="20"/>
    </row>
    <row r="83" spans="1:13" ht="14.5" customHeight="1" x14ac:dyDescent="0.35">
      <c r="A83" s="12" t="s">
        <v>98</v>
      </c>
      <c r="B83" s="21">
        <f>B81/E84</f>
        <v>0.45888888888888896</v>
      </c>
      <c r="C83" s="12" t="s">
        <v>58</v>
      </c>
      <c r="D83" s="18" t="s">
        <v>112</v>
      </c>
      <c r="E83" s="21">
        <f>B81-E82</f>
        <v>9.084731480220043E-4</v>
      </c>
      <c r="F83" s="12" t="s">
        <v>101</v>
      </c>
      <c r="G83" s="12" t="s">
        <v>175</v>
      </c>
      <c r="H83" s="20">
        <f>H79-H63</f>
        <v>22.833333333333332</v>
      </c>
    </row>
    <row r="84" spans="1:13" ht="14.5" customHeight="1" x14ac:dyDescent="0.35">
      <c r="A84" s="12" t="s">
        <v>102</v>
      </c>
      <c r="B84" s="21">
        <f>B82/B81</f>
        <v>0.86083362158422683</v>
      </c>
      <c r="C84" s="12" t="s">
        <v>103</v>
      </c>
      <c r="D84" s="18" t="s">
        <v>127</v>
      </c>
      <c r="E84" s="12">
        <f>SUM(M63:M79)</f>
        <v>10.499999999999996</v>
      </c>
      <c r="F84" s="12" t="s">
        <v>58</v>
      </c>
      <c r="G84" s="12" t="s">
        <v>180</v>
      </c>
      <c r="H84" s="36">
        <f>H83/$D$172</f>
        <v>0.84307692307692306</v>
      </c>
    </row>
    <row r="86" spans="1:13" ht="14.5" customHeight="1" x14ac:dyDescent="0.35">
      <c r="A86" s="12" t="s">
        <v>107</v>
      </c>
      <c r="B86" s="12"/>
      <c r="C86" s="17" t="s">
        <v>13</v>
      </c>
      <c r="D86" s="17" t="s">
        <v>29</v>
      </c>
      <c r="E86" s="12" t="s">
        <v>7</v>
      </c>
      <c r="F86" s="12" t="s">
        <v>3</v>
      </c>
      <c r="G86" s="12"/>
      <c r="H86" s="12" t="s">
        <v>96</v>
      </c>
      <c r="I86" s="12" t="s">
        <v>6</v>
      </c>
      <c r="J86" s="12" t="s">
        <v>94</v>
      </c>
      <c r="K86" s="12" t="s">
        <v>7</v>
      </c>
      <c r="L86" s="12" t="s">
        <v>95</v>
      </c>
      <c r="M86" s="21" t="s">
        <v>127</v>
      </c>
    </row>
    <row r="87" spans="1:13" ht="14.5" customHeight="1" x14ac:dyDescent="0.35">
      <c r="A87" s="21">
        <v>5</v>
      </c>
      <c r="B87" s="21">
        <v>2</v>
      </c>
      <c r="C87" s="21">
        <f t="shared" ref="C87:C93" si="37">A87+(B87/12)</f>
        <v>5.166666666666667</v>
      </c>
      <c r="F87" s="21" t="s">
        <v>10</v>
      </c>
      <c r="H87" s="21">
        <f t="shared" ref="H87:I104" si="38">C87</f>
        <v>5.166666666666667</v>
      </c>
      <c r="I87" s="21">
        <f t="shared" si="38"/>
        <v>0</v>
      </c>
      <c r="K87" s="21">
        <f>E87</f>
        <v>0</v>
      </c>
      <c r="L87" s="21">
        <f t="shared" ref="L87:L104" si="39">J87*K87</f>
        <v>0</v>
      </c>
    </row>
    <row r="88" spans="1:13" ht="14.5" customHeight="1" x14ac:dyDescent="0.35">
      <c r="A88" s="21">
        <v>5</v>
      </c>
      <c r="B88" s="21">
        <v>5</v>
      </c>
      <c r="C88" s="21">
        <f t="shared" si="37"/>
        <v>5.416666666666667</v>
      </c>
      <c r="D88" s="21">
        <v>0.4</v>
      </c>
      <c r="H88" s="21">
        <f t="shared" si="38"/>
        <v>5.416666666666667</v>
      </c>
      <c r="I88" s="21">
        <f t="shared" si="38"/>
        <v>0.4</v>
      </c>
      <c r="J88" s="18">
        <f>((H89-H87)/2)*I88</f>
        <v>0.1</v>
      </c>
      <c r="K88" s="21">
        <f t="shared" ref="K88:K104" si="40">E88</f>
        <v>0</v>
      </c>
      <c r="L88" s="21">
        <f t="shared" si="39"/>
        <v>0</v>
      </c>
    </row>
    <row r="89" spans="1:13" ht="14.5" customHeight="1" x14ac:dyDescent="0.35">
      <c r="A89" s="21">
        <v>5</v>
      </c>
      <c r="B89" s="21">
        <v>8</v>
      </c>
      <c r="C89" s="21">
        <f t="shared" si="37"/>
        <v>5.666666666666667</v>
      </c>
      <c r="D89" s="21">
        <v>0.5</v>
      </c>
      <c r="E89" s="21">
        <v>-0.06</v>
      </c>
      <c r="H89" s="21">
        <f t="shared" si="38"/>
        <v>5.666666666666667</v>
      </c>
      <c r="I89" s="21">
        <f t="shared" si="38"/>
        <v>0.5</v>
      </c>
      <c r="J89" s="18">
        <f>((H90-H88)/2)*I89</f>
        <v>0.3125</v>
      </c>
      <c r="K89" s="21">
        <f t="shared" si="40"/>
        <v>-0.06</v>
      </c>
      <c r="L89" s="21">
        <f t="shared" si="39"/>
        <v>-1.8749999999999999E-2</v>
      </c>
    </row>
    <row r="90" spans="1:13" ht="14.5" customHeight="1" x14ac:dyDescent="0.35">
      <c r="A90" s="21">
        <v>6</v>
      </c>
      <c r="B90" s="21">
        <v>8</v>
      </c>
      <c r="C90" s="21">
        <f t="shared" si="37"/>
        <v>6.666666666666667</v>
      </c>
      <c r="D90" s="21">
        <v>0.53</v>
      </c>
      <c r="E90" s="21">
        <v>0.79</v>
      </c>
      <c r="H90" s="21">
        <f t="shared" si="38"/>
        <v>6.666666666666667</v>
      </c>
      <c r="I90" s="21">
        <f t="shared" si="38"/>
        <v>0.53</v>
      </c>
      <c r="J90" s="18">
        <f>((H91-H89)/2)*I90</f>
        <v>0.79499999999999982</v>
      </c>
      <c r="K90" s="21">
        <f t="shared" si="40"/>
        <v>0.79</v>
      </c>
      <c r="L90" s="21">
        <f>J90*K90</f>
        <v>0.62804999999999989</v>
      </c>
    </row>
    <row r="91" spans="1:13" ht="14.5" customHeight="1" x14ac:dyDescent="0.35">
      <c r="A91" s="21">
        <v>8</v>
      </c>
      <c r="B91" s="21">
        <v>8</v>
      </c>
      <c r="C91" s="21">
        <f t="shared" si="37"/>
        <v>8.6666666666666661</v>
      </c>
      <c r="D91" s="21">
        <v>0.9</v>
      </c>
      <c r="E91" s="21">
        <v>1.36</v>
      </c>
      <c r="H91" s="21">
        <f t="shared" si="38"/>
        <v>8.6666666666666661</v>
      </c>
      <c r="I91" s="21">
        <f t="shared" si="38"/>
        <v>0.9</v>
      </c>
      <c r="J91" s="18">
        <f>((H92-H91)+((H91-H90)/2))*I91</f>
        <v>1.7999999999999996</v>
      </c>
      <c r="K91" s="21">
        <f t="shared" si="40"/>
        <v>1.36</v>
      </c>
      <c r="L91" s="21">
        <f t="shared" si="39"/>
        <v>2.4479999999999995</v>
      </c>
    </row>
    <row r="92" spans="1:13" ht="14.5" customHeight="1" x14ac:dyDescent="0.35">
      <c r="A92" s="21">
        <v>9</v>
      </c>
      <c r="B92" s="21">
        <v>8</v>
      </c>
      <c r="C92" s="21">
        <f t="shared" si="37"/>
        <v>9.6666666666666661</v>
      </c>
      <c r="F92" s="21" t="s">
        <v>20</v>
      </c>
      <c r="H92" s="21">
        <f t="shared" si="38"/>
        <v>9.6666666666666661</v>
      </c>
      <c r="I92" s="21">
        <f t="shared" si="38"/>
        <v>0</v>
      </c>
      <c r="K92" s="21">
        <f t="shared" si="40"/>
        <v>0</v>
      </c>
      <c r="L92" s="21">
        <f t="shared" si="39"/>
        <v>0</v>
      </c>
      <c r="M92" s="21">
        <f>H92-H87</f>
        <v>4.4999999999999991</v>
      </c>
    </row>
    <row r="93" spans="1:13" ht="14.5" customHeight="1" x14ac:dyDescent="0.35">
      <c r="A93" s="21">
        <v>11</v>
      </c>
      <c r="B93" s="21">
        <v>3</v>
      </c>
      <c r="C93" s="21">
        <f t="shared" si="37"/>
        <v>11.25</v>
      </c>
      <c r="F93" s="21" t="s">
        <v>37</v>
      </c>
      <c r="H93" s="21">
        <f t="shared" si="38"/>
        <v>11.25</v>
      </c>
      <c r="I93" s="21">
        <f t="shared" si="38"/>
        <v>0</v>
      </c>
      <c r="K93" s="21">
        <f t="shared" si="40"/>
        <v>0</v>
      </c>
      <c r="L93" s="21">
        <f t="shared" si="39"/>
        <v>0</v>
      </c>
    </row>
    <row r="94" spans="1:13" ht="14.5" customHeight="1" x14ac:dyDescent="0.35">
      <c r="A94" s="21">
        <v>13</v>
      </c>
      <c r="B94" s="21">
        <v>2</v>
      </c>
      <c r="C94" s="21">
        <f t="shared" ref="C94:C104" si="41">A94+(B94/12)</f>
        <v>13.166666666666666</v>
      </c>
      <c r="D94" s="21">
        <v>0.91</v>
      </c>
      <c r="E94" s="21">
        <v>0.97</v>
      </c>
      <c r="H94" s="21">
        <f t="shared" si="38"/>
        <v>13.166666666666666</v>
      </c>
      <c r="I94" s="21">
        <f t="shared" si="38"/>
        <v>0.91</v>
      </c>
      <c r="J94" s="18">
        <f>(H95-H93)*I94</f>
        <v>2.1991666666666663</v>
      </c>
      <c r="K94" s="21">
        <f t="shared" si="40"/>
        <v>0.97</v>
      </c>
      <c r="L94" s="21">
        <f t="shared" si="39"/>
        <v>2.1331916666666664</v>
      </c>
    </row>
    <row r="95" spans="1:13" ht="14.5" customHeight="1" x14ac:dyDescent="0.35">
      <c r="A95" s="21">
        <v>13</v>
      </c>
      <c r="B95" s="21">
        <v>8</v>
      </c>
      <c r="C95" s="21">
        <v>13.666666666666666</v>
      </c>
      <c r="F95" s="21" t="s">
        <v>20</v>
      </c>
      <c r="H95" s="21">
        <v>13.666666666666666</v>
      </c>
      <c r="I95" s="21">
        <v>0</v>
      </c>
      <c r="K95" s="21">
        <v>0</v>
      </c>
      <c r="L95" s="21">
        <v>0</v>
      </c>
      <c r="M95" s="21">
        <f>H95-H93</f>
        <v>2.4166666666666661</v>
      </c>
    </row>
    <row r="96" spans="1:13" ht="14.5" customHeight="1" x14ac:dyDescent="0.35">
      <c r="A96" s="21">
        <v>20</v>
      </c>
      <c r="B96" s="21">
        <v>2</v>
      </c>
      <c r="C96" s="21">
        <v>20.166666666666668</v>
      </c>
      <c r="F96" s="21" t="s">
        <v>37</v>
      </c>
      <c r="H96" s="21">
        <v>20.166666666666668</v>
      </c>
      <c r="I96" s="21">
        <v>0</v>
      </c>
      <c r="K96" s="21">
        <v>0</v>
      </c>
      <c r="L96" s="21">
        <v>0</v>
      </c>
    </row>
    <row r="97" spans="1:13" ht="14.5" customHeight="1" x14ac:dyDescent="0.35">
      <c r="A97" s="21">
        <v>21</v>
      </c>
      <c r="B97" s="21">
        <v>6</v>
      </c>
      <c r="C97" s="21">
        <f t="shared" si="41"/>
        <v>21.5</v>
      </c>
      <c r="D97" s="21">
        <v>0.5</v>
      </c>
      <c r="E97" s="21">
        <v>0.37</v>
      </c>
      <c r="H97" s="21">
        <f t="shared" si="38"/>
        <v>21.5</v>
      </c>
      <c r="I97" s="21">
        <f t="shared" si="38"/>
        <v>0.5</v>
      </c>
      <c r="J97" s="18">
        <f>(H98-H96)*I97</f>
        <v>1.0416666666666661</v>
      </c>
      <c r="K97" s="21">
        <f t="shared" si="40"/>
        <v>0.37</v>
      </c>
      <c r="L97" s="21">
        <f t="shared" si="39"/>
        <v>0.38541666666666646</v>
      </c>
    </row>
    <row r="98" spans="1:13" ht="14.5" customHeight="1" x14ac:dyDescent="0.35">
      <c r="A98" s="21">
        <v>22</v>
      </c>
      <c r="B98" s="21">
        <v>3</v>
      </c>
      <c r="C98" s="21">
        <f>A98+(B98/12)</f>
        <v>22.25</v>
      </c>
      <c r="F98" s="21" t="s">
        <v>20</v>
      </c>
      <c r="H98" s="21">
        <f t="shared" si="38"/>
        <v>22.25</v>
      </c>
      <c r="I98" s="21">
        <f t="shared" si="38"/>
        <v>0</v>
      </c>
      <c r="K98" s="21">
        <f t="shared" si="40"/>
        <v>0</v>
      </c>
      <c r="L98" s="21">
        <f t="shared" si="39"/>
        <v>0</v>
      </c>
      <c r="M98" s="21">
        <f>H98-H96</f>
        <v>2.0833333333333321</v>
      </c>
    </row>
    <row r="99" spans="1:13" ht="14.5" customHeight="1" x14ac:dyDescent="0.35">
      <c r="A99" s="21">
        <v>24</v>
      </c>
      <c r="B99" s="21">
        <v>5</v>
      </c>
      <c r="C99" s="21">
        <f>A99+(B99/12)</f>
        <v>24.416666666666668</v>
      </c>
      <c r="F99" s="21" t="s">
        <v>37</v>
      </c>
      <c r="H99" s="21">
        <f t="shared" si="38"/>
        <v>24.416666666666668</v>
      </c>
      <c r="I99" s="21">
        <f t="shared" si="38"/>
        <v>0</v>
      </c>
      <c r="K99" s="21">
        <f t="shared" si="40"/>
        <v>0</v>
      </c>
      <c r="L99" s="21">
        <f t="shared" si="39"/>
        <v>0</v>
      </c>
    </row>
    <row r="100" spans="1:13" ht="14.5" customHeight="1" x14ac:dyDescent="0.35">
      <c r="A100" s="21">
        <v>25</v>
      </c>
      <c r="B100" s="21">
        <v>3</v>
      </c>
      <c r="C100" s="21">
        <f t="shared" si="41"/>
        <v>25.25</v>
      </c>
      <c r="D100" s="21">
        <v>0.46</v>
      </c>
      <c r="E100" s="21">
        <v>0.25</v>
      </c>
      <c r="H100" s="21">
        <f t="shared" si="38"/>
        <v>25.25</v>
      </c>
      <c r="I100" s="21">
        <f t="shared" si="38"/>
        <v>0.46</v>
      </c>
      <c r="J100" s="18">
        <f>(H101-H99)*I100</f>
        <v>0.72833333333333283</v>
      </c>
      <c r="K100" s="21">
        <f t="shared" si="40"/>
        <v>0.25</v>
      </c>
      <c r="L100" s="21">
        <f t="shared" si="39"/>
        <v>0.18208333333333321</v>
      </c>
    </row>
    <row r="101" spans="1:13" ht="14.5" customHeight="1" x14ac:dyDescent="0.35">
      <c r="A101" s="21">
        <v>26</v>
      </c>
      <c r="B101" s="21">
        <v>0</v>
      </c>
      <c r="C101" s="21">
        <f>A101+(B101/12)</f>
        <v>26</v>
      </c>
      <c r="F101" s="21" t="s">
        <v>20</v>
      </c>
      <c r="H101" s="21">
        <f t="shared" si="38"/>
        <v>26</v>
      </c>
      <c r="I101" s="21">
        <f t="shared" si="38"/>
        <v>0</v>
      </c>
      <c r="K101" s="21">
        <f t="shared" si="40"/>
        <v>0</v>
      </c>
      <c r="L101" s="21">
        <f t="shared" si="39"/>
        <v>0</v>
      </c>
      <c r="M101" s="21">
        <f>H101-H99</f>
        <v>1.5833333333333321</v>
      </c>
    </row>
    <row r="102" spans="1:13" ht="14.5" customHeight="1" x14ac:dyDescent="0.35">
      <c r="A102" s="21">
        <v>27</v>
      </c>
      <c r="B102" s="21">
        <v>4</v>
      </c>
      <c r="C102" s="21">
        <f>A102+(B102/12)</f>
        <v>27.333333333333332</v>
      </c>
      <c r="F102" s="21" t="s">
        <v>37</v>
      </c>
      <c r="H102" s="21">
        <f t="shared" si="38"/>
        <v>27.333333333333332</v>
      </c>
      <c r="I102" s="21">
        <f t="shared" si="38"/>
        <v>0</v>
      </c>
      <c r="K102" s="21">
        <f t="shared" si="40"/>
        <v>0</v>
      </c>
      <c r="L102" s="21">
        <f t="shared" si="39"/>
        <v>0</v>
      </c>
    </row>
    <row r="103" spans="1:13" ht="14.5" customHeight="1" x14ac:dyDescent="0.35">
      <c r="A103" s="21">
        <v>27</v>
      </c>
      <c r="B103" s="21">
        <v>9</v>
      </c>
      <c r="C103" s="21">
        <f t="shared" si="41"/>
        <v>27.75</v>
      </c>
      <c r="D103" s="21">
        <v>0.5</v>
      </c>
      <c r="E103" s="21">
        <v>0.22</v>
      </c>
      <c r="H103" s="21">
        <f t="shared" si="38"/>
        <v>27.75</v>
      </c>
      <c r="I103" s="21">
        <f t="shared" si="38"/>
        <v>0.5</v>
      </c>
      <c r="J103" s="18">
        <f>((H104-H102)/2)*I103</f>
        <v>0.4375</v>
      </c>
      <c r="K103" s="21">
        <f t="shared" si="40"/>
        <v>0.22</v>
      </c>
      <c r="L103" s="21">
        <f t="shared" si="39"/>
        <v>9.6250000000000002E-2</v>
      </c>
    </row>
    <row r="104" spans="1:13" ht="14.5" customHeight="1" x14ac:dyDescent="0.35">
      <c r="A104" s="21">
        <v>29</v>
      </c>
      <c r="B104" s="21">
        <v>1</v>
      </c>
      <c r="C104" s="21">
        <f t="shared" si="41"/>
        <v>29.083333333333332</v>
      </c>
      <c r="D104" s="21">
        <v>0.6</v>
      </c>
      <c r="F104" s="21" t="s">
        <v>28</v>
      </c>
      <c r="H104" s="21">
        <f t="shared" si="38"/>
        <v>29.083333333333332</v>
      </c>
      <c r="I104" s="21">
        <f t="shared" si="38"/>
        <v>0.6</v>
      </c>
      <c r="J104" s="18">
        <f>((H104-H103)/2)*I104</f>
        <v>0.39999999999999963</v>
      </c>
      <c r="K104" s="21">
        <f t="shared" si="40"/>
        <v>0</v>
      </c>
      <c r="L104" s="21">
        <f t="shared" si="39"/>
        <v>0</v>
      </c>
      <c r="M104" s="21">
        <f>H104-H102</f>
        <v>1.75</v>
      </c>
    </row>
    <row r="106" spans="1:13" ht="14.5" customHeight="1" x14ac:dyDescent="0.35">
      <c r="A106" s="16" t="s">
        <v>97</v>
      </c>
      <c r="B106" s="24">
        <f>SUM(J87:J104)</f>
        <v>7.8141666666666634</v>
      </c>
      <c r="C106" s="12" t="s">
        <v>101</v>
      </c>
      <c r="D106" s="18" t="s">
        <v>111</v>
      </c>
      <c r="E106" s="12">
        <v>143.67230000000001</v>
      </c>
      <c r="F106" s="12" t="s">
        <v>58</v>
      </c>
      <c r="G106" s="12"/>
      <c r="H106" s="20"/>
    </row>
    <row r="107" spans="1:13" ht="14.5" customHeight="1" x14ac:dyDescent="0.35">
      <c r="A107" s="12" t="s">
        <v>99</v>
      </c>
      <c r="B107" s="18">
        <f>SUM(L87:L104)</f>
        <v>5.854241666666665</v>
      </c>
      <c r="C107" s="12" t="s">
        <v>100</v>
      </c>
      <c r="D107" s="18" t="s">
        <v>94</v>
      </c>
      <c r="E107" s="12">
        <f>SUM(Y:Y)</f>
        <v>7.8137022699892826</v>
      </c>
      <c r="F107" s="12" t="s">
        <v>101</v>
      </c>
      <c r="G107" s="12"/>
      <c r="H107" s="20"/>
    </row>
    <row r="108" spans="1:13" ht="14.5" customHeight="1" x14ac:dyDescent="0.35">
      <c r="A108" s="12" t="s">
        <v>98</v>
      </c>
      <c r="B108" s="25">
        <f>B106/E109</f>
        <v>0.63358108108108102</v>
      </c>
      <c r="C108" s="12" t="s">
        <v>58</v>
      </c>
      <c r="D108" s="18" t="s">
        <v>112</v>
      </c>
      <c r="E108" s="21">
        <f>B106-E107</f>
        <v>4.6439667738074064E-4</v>
      </c>
      <c r="F108" s="12" t="s">
        <v>101</v>
      </c>
      <c r="G108" s="12" t="s">
        <v>175</v>
      </c>
      <c r="H108" s="20">
        <f>H104-H87</f>
        <v>23.916666666666664</v>
      </c>
    </row>
    <row r="109" spans="1:13" ht="14.5" customHeight="1" x14ac:dyDescent="0.35">
      <c r="A109" s="12" t="s">
        <v>102</v>
      </c>
      <c r="B109" s="21">
        <f>B107/B106</f>
        <v>0.74918310760371132</v>
      </c>
      <c r="C109" s="12" t="s">
        <v>103</v>
      </c>
      <c r="D109" s="18" t="s">
        <v>127</v>
      </c>
      <c r="E109" s="12">
        <f>SUM(M87:M104)</f>
        <v>12.333333333333329</v>
      </c>
      <c r="F109" s="12" t="s">
        <v>58</v>
      </c>
      <c r="G109" s="12" t="s">
        <v>180</v>
      </c>
      <c r="H109" s="36">
        <f>H108/$D$172</f>
        <v>0.88307692307692298</v>
      </c>
    </row>
    <row r="111" spans="1:13" ht="14.5" customHeight="1" x14ac:dyDescent="0.35">
      <c r="A111" s="12" t="s">
        <v>106</v>
      </c>
      <c r="B111" s="12"/>
      <c r="C111" s="17" t="s">
        <v>13</v>
      </c>
      <c r="D111" s="17" t="s">
        <v>29</v>
      </c>
      <c r="E111" s="12" t="s">
        <v>7</v>
      </c>
      <c r="F111" s="12" t="s">
        <v>3</v>
      </c>
      <c r="G111" s="12"/>
      <c r="H111" s="12" t="s">
        <v>96</v>
      </c>
      <c r="I111" s="12" t="s">
        <v>6</v>
      </c>
      <c r="J111" s="12" t="s">
        <v>94</v>
      </c>
      <c r="K111" s="12" t="s">
        <v>7</v>
      </c>
      <c r="L111" s="12" t="s">
        <v>95</v>
      </c>
      <c r="M111" s="21" t="s">
        <v>127</v>
      </c>
    </row>
    <row r="112" spans="1:13" ht="14.5" customHeight="1" x14ac:dyDescent="0.35">
      <c r="A112" s="21">
        <v>4</v>
      </c>
      <c r="B112" s="21">
        <v>8</v>
      </c>
      <c r="C112" s="21">
        <f>A112+(B112/12)</f>
        <v>4.666666666666667</v>
      </c>
      <c r="F112" s="21" t="s">
        <v>12</v>
      </c>
      <c r="H112" s="21">
        <f>C112</f>
        <v>4.666666666666667</v>
      </c>
      <c r="I112" s="21">
        <f t="shared" ref="H112:I135" si="42">D112</f>
        <v>0</v>
      </c>
      <c r="K112" s="21">
        <f>E112</f>
        <v>0</v>
      </c>
      <c r="L112" s="21">
        <f>J112*K112</f>
        <v>0</v>
      </c>
    </row>
    <row r="113" spans="1:13" ht="14.5" customHeight="1" x14ac:dyDescent="0.35">
      <c r="A113" s="21">
        <v>5</v>
      </c>
      <c r="B113" s="21">
        <v>2</v>
      </c>
      <c r="C113" s="21">
        <f>A113+(B113/12)</f>
        <v>5.166666666666667</v>
      </c>
      <c r="D113" s="21">
        <v>0.2</v>
      </c>
      <c r="F113" s="21" t="s">
        <v>11</v>
      </c>
      <c r="H113" s="21">
        <f t="shared" si="42"/>
        <v>5.166666666666667</v>
      </c>
      <c r="I113" s="21">
        <f t="shared" si="42"/>
        <v>0.2</v>
      </c>
      <c r="J113" s="21">
        <f>((H114-H112)/2)*I113</f>
        <v>9.1666666666666619E-2</v>
      </c>
      <c r="K113" s="21">
        <f t="shared" ref="K113:K135" si="43">E113</f>
        <v>0</v>
      </c>
      <c r="L113" s="21">
        <f t="shared" ref="L113:L135" si="44">J113*K113</f>
        <v>0</v>
      </c>
    </row>
    <row r="114" spans="1:13" ht="14.5" customHeight="1" x14ac:dyDescent="0.35">
      <c r="A114" s="21">
        <v>5</v>
      </c>
      <c r="B114" s="21">
        <v>7</v>
      </c>
      <c r="C114" s="21">
        <f>A114+(B114/12)</f>
        <v>5.583333333333333</v>
      </c>
      <c r="D114" s="21">
        <v>0.7</v>
      </c>
      <c r="F114" s="21" t="s">
        <v>30</v>
      </c>
      <c r="H114" s="21">
        <f t="shared" si="42"/>
        <v>5.583333333333333</v>
      </c>
      <c r="I114" s="21">
        <f t="shared" si="42"/>
        <v>0.7</v>
      </c>
      <c r="J114" s="21">
        <f>((H115-H113)/2)*I114</f>
        <v>0.32083333333333308</v>
      </c>
      <c r="K114" s="21">
        <f t="shared" si="43"/>
        <v>0</v>
      </c>
      <c r="L114" s="21">
        <f t="shared" si="44"/>
        <v>0</v>
      </c>
    </row>
    <row r="115" spans="1:13" ht="14.5" customHeight="1" x14ac:dyDescent="0.35">
      <c r="A115" s="21">
        <v>6</v>
      </c>
      <c r="B115" s="21">
        <v>1</v>
      </c>
      <c r="C115" s="21">
        <f>A115+(B115/12)</f>
        <v>6.083333333333333</v>
      </c>
      <c r="D115" s="21">
        <v>0.7</v>
      </c>
      <c r="E115" s="21">
        <v>0.85</v>
      </c>
      <c r="H115" s="21">
        <f t="shared" si="42"/>
        <v>6.083333333333333</v>
      </c>
      <c r="I115" s="21">
        <f t="shared" si="42"/>
        <v>0.7</v>
      </c>
      <c r="J115" s="21">
        <f>((H116-H115)+(H115-H114)/2)*I115</f>
        <v>0.64166666666666683</v>
      </c>
      <c r="K115" s="21">
        <f t="shared" si="43"/>
        <v>0.85</v>
      </c>
      <c r="L115" s="21">
        <f t="shared" si="44"/>
        <v>0.54541666666666677</v>
      </c>
    </row>
    <row r="116" spans="1:13" ht="14.5" customHeight="1" x14ac:dyDescent="0.35">
      <c r="A116" s="21">
        <v>6</v>
      </c>
      <c r="B116" s="21">
        <v>9</v>
      </c>
      <c r="C116" s="21">
        <f>A116+(B116/12)</f>
        <v>6.75</v>
      </c>
      <c r="D116" s="21">
        <v>0.76</v>
      </c>
      <c r="F116" s="21" t="s">
        <v>20</v>
      </c>
      <c r="H116" s="21">
        <f t="shared" si="42"/>
        <v>6.75</v>
      </c>
      <c r="I116" s="21">
        <f t="shared" si="42"/>
        <v>0.76</v>
      </c>
      <c r="K116" s="21">
        <f t="shared" si="43"/>
        <v>0</v>
      </c>
      <c r="L116" s="21">
        <f t="shared" si="44"/>
        <v>0</v>
      </c>
      <c r="M116" s="21">
        <f>H116-H114</f>
        <v>1.166666666666667</v>
      </c>
    </row>
    <row r="117" spans="1:13" ht="14.5" customHeight="1" x14ac:dyDescent="0.35">
      <c r="A117" s="21">
        <v>8</v>
      </c>
      <c r="B117" s="21">
        <v>5</v>
      </c>
      <c r="C117" s="21">
        <f t="shared" ref="C117:C122" si="45">A117+(B117/12)</f>
        <v>8.4166666666666661</v>
      </c>
      <c r="D117" s="21">
        <v>1.1000000000000001</v>
      </c>
      <c r="E117" s="21">
        <v>1.97</v>
      </c>
      <c r="H117" s="21">
        <f t="shared" si="42"/>
        <v>8.4166666666666661</v>
      </c>
      <c r="I117" s="21">
        <f t="shared" si="42"/>
        <v>1.1000000000000001</v>
      </c>
      <c r="J117" s="21">
        <f>((H117-H116)*((I117+I116)/2))+((H118-H117)*(I118+I117)/2)</f>
        <v>2.6333333333333337</v>
      </c>
      <c r="K117" s="21">
        <f t="shared" si="43"/>
        <v>1.97</v>
      </c>
      <c r="L117" s="21">
        <f t="shared" si="44"/>
        <v>5.1876666666666678</v>
      </c>
    </row>
    <row r="118" spans="1:13" ht="14.5" customHeight="1" x14ac:dyDescent="0.35">
      <c r="A118" s="21">
        <v>9</v>
      </c>
      <c r="B118" s="21">
        <v>6</v>
      </c>
      <c r="C118" s="21">
        <f t="shared" si="45"/>
        <v>9.5</v>
      </c>
      <c r="D118" s="21">
        <v>0.9</v>
      </c>
      <c r="F118" s="21" t="s">
        <v>20</v>
      </c>
      <c r="H118" s="21">
        <f t="shared" si="42"/>
        <v>9.5</v>
      </c>
      <c r="I118" s="21">
        <f t="shared" si="42"/>
        <v>0.9</v>
      </c>
      <c r="K118" s="21">
        <f t="shared" si="43"/>
        <v>0</v>
      </c>
      <c r="L118" s="21">
        <f t="shared" si="44"/>
        <v>0</v>
      </c>
      <c r="M118" s="21">
        <f>H118-H116</f>
        <v>2.75</v>
      </c>
    </row>
    <row r="119" spans="1:13" ht="14.5" customHeight="1" x14ac:dyDescent="0.35">
      <c r="A119" s="21">
        <v>11</v>
      </c>
      <c r="B119" s="21">
        <v>2</v>
      </c>
      <c r="C119" s="21">
        <f t="shared" si="45"/>
        <v>11.166666666666666</v>
      </c>
      <c r="D119" s="21">
        <v>0.14000000000000001</v>
      </c>
      <c r="E119" s="21">
        <v>0.69</v>
      </c>
      <c r="H119" s="21">
        <f t="shared" si="42"/>
        <v>11.166666666666666</v>
      </c>
      <c r="I119" s="21">
        <f t="shared" si="42"/>
        <v>0.14000000000000001</v>
      </c>
      <c r="J119" s="21">
        <f>((H119-H118)*I119)+(H120-H119)*((I120+I119)/2)</f>
        <v>0.48333333333333328</v>
      </c>
      <c r="K119" s="21">
        <f t="shared" si="43"/>
        <v>0.69</v>
      </c>
      <c r="L119" s="21">
        <f t="shared" si="44"/>
        <v>0.33349999999999996</v>
      </c>
    </row>
    <row r="120" spans="1:13" ht="14.5" customHeight="1" x14ac:dyDescent="0.35">
      <c r="A120" s="21">
        <v>12</v>
      </c>
      <c r="B120" s="21">
        <v>2</v>
      </c>
      <c r="C120" s="21">
        <f t="shared" si="45"/>
        <v>12.166666666666666</v>
      </c>
      <c r="D120" s="21">
        <v>0.36</v>
      </c>
      <c r="F120" s="21" t="s">
        <v>32</v>
      </c>
      <c r="H120" s="21">
        <f t="shared" si="42"/>
        <v>12.166666666666666</v>
      </c>
      <c r="I120" s="21">
        <f t="shared" si="42"/>
        <v>0.36</v>
      </c>
      <c r="K120" s="21">
        <f t="shared" si="43"/>
        <v>0</v>
      </c>
      <c r="L120" s="21">
        <f t="shared" si="44"/>
        <v>0</v>
      </c>
      <c r="M120" s="21">
        <f>H120-H118</f>
        <v>2.6666666666666661</v>
      </c>
    </row>
    <row r="121" spans="1:13" ht="14.5" customHeight="1" x14ac:dyDescent="0.35">
      <c r="A121" s="21">
        <v>12</v>
      </c>
      <c r="B121" s="21">
        <v>3</v>
      </c>
      <c r="C121" s="21">
        <f t="shared" si="45"/>
        <v>12.25</v>
      </c>
      <c r="D121" s="21">
        <v>0.9</v>
      </c>
      <c r="F121" s="21" t="s">
        <v>31</v>
      </c>
      <c r="H121" s="21">
        <f t="shared" si="42"/>
        <v>12.25</v>
      </c>
      <c r="I121" s="21">
        <f t="shared" si="42"/>
        <v>0.9</v>
      </c>
      <c r="K121" s="21">
        <f t="shared" si="43"/>
        <v>0</v>
      </c>
      <c r="L121" s="21">
        <f t="shared" si="44"/>
        <v>0</v>
      </c>
    </row>
    <row r="122" spans="1:13" ht="14.5" customHeight="1" x14ac:dyDescent="0.35">
      <c r="A122" s="21">
        <v>13</v>
      </c>
      <c r="B122" s="21">
        <v>1</v>
      </c>
      <c r="C122" s="21">
        <f t="shared" si="45"/>
        <v>13.083333333333334</v>
      </c>
      <c r="D122" s="21">
        <v>1.07</v>
      </c>
      <c r="E122" s="21">
        <v>1.34</v>
      </c>
      <c r="H122" s="21">
        <f t="shared" si="42"/>
        <v>13.083333333333334</v>
      </c>
      <c r="I122" s="21">
        <f t="shared" si="42"/>
        <v>1.07</v>
      </c>
      <c r="J122" s="21">
        <f>((H122-H121)*((I122+I121)/2))+((H123-H122)*(I123+I122)/2)</f>
        <v>1.6983333333333339</v>
      </c>
      <c r="K122" s="21">
        <f t="shared" si="43"/>
        <v>1.34</v>
      </c>
      <c r="L122" s="21">
        <f t="shared" si="44"/>
        <v>2.2757666666666676</v>
      </c>
    </row>
    <row r="123" spans="1:13" ht="14.5" customHeight="1" x14ac:dyDescent="0.35">
      <c r="A123" s="21">
        <v>13</v>
      </c>
      <c r="B123" s="21">
        <v>10</v>
      </c>
      <c r="C123" s="21">
        <f>A123+(B123/12)</f>
        <v>13.833333333333334</v>
      </c>
      <c r="D123" s="21">
        <v>1.27</v>
      </c>
      <c r="F123" s="21" t="s">
        <v>20</v>
      </c>
      <c r="H123" s="21">
        <f t="shared" si="42"/>
        <v>13.833333333333334</v>
      </c>
      <c r="I123" s="21">
        <f t="shared" si="42"/>
        <v>1.27</v>
      </c>
      <c r="K123" s="21">
        <f t="shared" si="43"/>
        <v>0</v>
      </c>
      <c r="L123" s="21">
        <f t="shared" si="44"/>
        <v>0</v>
      </c>
      <c r="M123" s="21">
        <f>H123-H121</f>
        <v>1.5833333333333339</v>
      </c>
    </row>
    <row r="124" spans="1:13" ht="14.5" customHeight="1" x14ac:dyDescent="0.35">
      <c r="A124" s="21">
        <v>18</v>
      </c>
      <c r="B124" s="21">
        <v>9</v>
      </c>
      <c r="C124" s="21">
        <f t="shared" ref="C124:C127" si="46">A124+(B124/12)</f>
        <v>18.75</v>
      </c>
      <c r="D124" s="21">
        <v>0</v>
      </c>
      <c r="F124" s="21" t="s">
        <v>33</v>
      </c>
      <c r="H124" s="21">
        <f t="shared" si="42"/>
        <v>18.75</v>
      </c>
      <c r="I124" s="21">
        <f t="shared" si="42"/>
        <v>0</v>
      </c>
      <c r="K124" s="21">
        <f t="shared" si="43"/>
        <v>0</v>
      </c>
      <c r="L124" s="21">
        <f t="shared" si="44"/>
        <v>0</v>
      </c>
    </row>
    <row r="125" spans="1:13" ht="14.5" customHeight="1" x14ac:dyDescent="0.35">
      <c r="A125" s="21">
        <v>20</v>
      </c>
      <c r="B125" s="21">
        <v>3</v>
      </c>
      <c r="C125" s="21">
        <f t="shared" si="46"/>
        <v>20.25</v>
      </c>
      <c r="D125" s="21">
        <v>0.2</v>
      </c>
      <c r="E125" s="21">
        <v>0</v>
      </c>
      <c r="F125" s="21" t="s">
        <v>34</v>
      </c>
      <c r="H125" s="21">
        <f t="shared" si="42"/>
        <v>20.25</v>
      </c>
      <c r="I125" s="21">
        <f t="shared" si="42"/>
        <v>0.2</v>
      </c>
      <c r="J125" s="21">
        <f>(H125-H124)*((I125+I124)/2)</f>
        <v>0.15000000000000002</v>
      </c>
      <c r="K125" s="21">
        <f t="shared" si="43"/>
        <v>0</v>
      </c>
      <c r="L125" s="21">
        <f t="shared" si="44"/>
        <v>0</v>
      </c>
    </row>
    <row r="126" spans="1:13" ht="14.5" customHeight="1" x14ac:dyDescent="0.35">
      <c r="A126" s="21">
        <v>20</v>
      </c>
      <c r="B126" s="21">
        <v>5</v>
      </c>
      <c r="C126" s="21">
        <f t="shared" si="46"/>
        <v>20.416666666666668</v>
      </c>
      <c r="D126" s="21">
        <v>0.5</v>
      </c>
      <c r="F126" s="21" t="s">
        <v>33</v>
      </c>
      <c r="H126" s="21">
        <f t="shared" si="42"/>
        <v>20.416666666666668</v>
      </c>
      <c r="I126" s="21">
        <f t="shared" si="42"/>
        <v>0.5</v>
      </c>
      <c r="J126" s="21">
        <f>(H126-H125)*((I126+I125)/2)</f>
        <v>5.8333333333333744E-2</v>
      </c>
      <c r="K126" s="21">
        <f t="shared" si="43"/>
        <v>0</v>
      </c>
      <c r="L126" s="21">
        <f t="shared" si="44"/>
        <v>0</v>
      </c>
    </row>
    <row r="127" spans="1:13" ht="14.5" customHeight="1" x14ac:dyDescent="0.35">
      <c r="A127" s="21">
        <v>21</v>
      </c>
      <c r="B127" s="21">
        <v>5</v>
      </c>
      <c r="C127" s="21">
        <f t="shared" si="46"/>
        <v>21.416666666666668</v>
      </c>
      <c r="D127" s="21">
        <v>0.72</v>
      </c>
      <c r="E127" s="21">
        <v>1.1499999999999999</v>
      </c>
      <c r="H127" s="21">
        <f t="shared" si="42"/>
        <v>21.416666666666668</v>
      </c>
      <c r="I127" s="21">
        <f t="shared" si="42"/>
        <v>0.72</v>
      </c>
      <c r="J127" s="21">
        <f>((H127-H126)*((I127+I126)/2))+((H128-H127)*(I128+I127)/2)</f>
        <v>1.2616666666666654</v>
      </c>
      <c r="K127" s="21">
        <f t="shared" si="43"/>
        <v>1.1499999999999999</v>
      </c>
      <c r="L127" s="21">
        <f t="shared" si="44"/>
        <v>1.4509166666666651</v>
      </c>
    </row>
    <row r="128" spans="1:13" ht="14.5" customHeight="1" x14ac:dyDescent="0.35">
      <c r="A128" s="21">
        <v>22</v>
      </c>
      <c r="B128" s="21">
        <v>10</v>
      </c>
      <c r="C128" s="21">
        <f>A128+(B128/12)</f>
        <v>22.833333333333332</v>
      </c>
      <c r="D128" s="21">
        <v>0.2</v>
      </c>
      <c r="F128" s="21" t="s">
        <v>20</v>
      </c>
      <c r="H128" s="21">
        <f t="shared" si="42"/>
        <v>22.833333333333332</v>
      </c>
      <c r="I128" s="21">
        <f t="shared" si="42"/>
        <v>0.2</v>
      </c>
      <c r="K128" s="21">
        <f t="shared" si="43"/>
        <v>0</v>
      </c>
      <c r="L128" s="21">
        <f t="shared" si="44"/>
        <v>0</v>
      </c>
      <c r="M128" s="21">
        <f>H128-H126</f>
        <v>2.4166666666666643</v>
      </c>
    </row>
    <row r="129" spans="1:13" ht="14.5" customHeight="1" x14ac:dyDescent="0.35">
      <c r="A129" s="21">
        <v>24</v>
      </c>
      <c r="B129" s="21">
        <v>8</v>
      </c>
      <c r="C129" s="21">
        <f t="shared" ref="C129:C134" si="47">A129+(B129/12)</f>
        <v>24.666666666666668</v>
      </c>
      <c r="F129" s="21" t="s">
        <v>35</v>
      </c>
      <c r="H129" s="21">
        <f t="shared" si="42"/>
        <v>24.666666666666668</v>
      </c>
      <c r="I129" s="21">
        <f t="shared" si="42"/>
        <v>0</v>
      </c>
      <c r="K129" s="21">
        <f t="shared" si="43"/>
        <v>0</v>
      </c>
      <c r="L129" s="21">
        <f t="shared" si="44"/>
        <v>0</v>
      </c>
    </row>
    <row r="130" spans="1:13" ht="14.5" customHeight="1" x14ac:dyDescent="0.35">
      <c r="A130" s="21">
        <v>24</v>
      </c>
      <c r="B130" s="21">
        <v>8</v>
      </c>
      <c r="C130" s="21">
        <f t="shared" si="47"/>
        <v>24.666666666666668</v>
      </c>
      <c r="F130" s="21" t="s">
        <v>20</v>
      </c>
      <c r="H130" s="21">
        <f t="shared" si="42"/>
        <v>24.666666666666668</v>
      </c>
      <c r="I130" s="21">
        <f t="shared" si="42"/>
        <v>0</v>
      </c>
      <c r="K130" s="21">
        <f t="shared" si="43"/>
        <v>0</v>
      </c>
      <c r="L130" s="21">
        <f t="shared" si="44"/>
        <v>0</v>
      </c>
    </row>
    <row r="131" spans="1:13" ht="14.5" customHeight="1" x14ac:dyDescent="0.35">
      <c r="A131" s="21">
        <v>27</v>
      </c>
      <c r="B131" s="21">
        <v>5</v>
      </c>
      <c r="C131" s="21">
        <f t="shared" si="47"/>
        <v>27.416666666666668</v>
      </c>
      <c r="D131" s="21">
        <v>0.7</v>
      </c>
      <c r="E131" s="21">
        <v>1.27</v>
      </c>
      <c r="H131" s="21">
        <f t="shared" si="42"/>
        <v>27.416666666666668</v>
      </c>
      <c r="I131" s="21">
        <f>D131</f>
        <v>0.7</v>
      </c>
      <c r="J131" s="21">
        <f>((H131-H130)*((I131+I130)/2))+((H132-H131)*((I132+I131)/2))</f>
        <v>2.0708333333333324</v>
      </c>
      <c r="K131" s="21">
        <f t="shared" si="43"/>
        <v>1.27</v>
      </c>
      <c r="L131" s="21">
        <f t="shared" si="44"/>
        <v>2.6299583333333323</v>
      </c>
    </row>
    <row r="132" spans="1:13" ht="14.5" customHeight="1" x14ac:dyDescent="0.35">
      <c r="A132" s="21">
        <v>29</v>
      </c>
      <c r="B132" s="21">
        <v>0</v>
      </c>
      <c r="C132" s="21">
        <f t="shared" si="47"/>
        <v>29</v>
      </c>
      <c r="D132" s="21">
        <v>0.7</v>
      </c>
      <c r="F132" s="21" t="s">
        <v>20</v>
      </c>
      <c r="H132" s="21">
        <f t="shared" si="42"/>
        <v>29</v>
      </c>
      <c r="I132" s="21">
        <f t="shared" si="42"/>
        <v>0.7</v>
      </c>
      <c r="K132" s="21">
        <f t="shared" si="43"/>
        <v>0</v>
      </c>
      <c r="L132" s="21">
        <f t="shared" si="44"/>
        <v>0</v>
      </c>
      <c r="M132" s="21">
        <f>H132-H130</f>
        <v>4.3333333333333321</v>
      </c>
    </row>
    <row r="133" spans="1:13" ht="14.5" customHeight="1" x14ac:dyDescent="0.35">
      <c r="A133" s="21">
        <v>30</v>
      </c>
      <c r="B133" s="21">
        <v>1</v>
      </c>
      <c r="C133" s="21">
        <f t="shared" si="47"/>
        <v>30.083333333333332</v>
      </c>
      <c r="D133" s="21">
        <v>0</v>
      </c>
      <c r="H133" s="21">
        <f t="shared" si="42"/>
        <v>30.083333333333332</v>
      </c>
      <c r="I133" s="21">
        <f t="shared" si="42"/>
        <v>0</v>
      </c>
      <c r="K133" s="21">
        <f t="shared" si="43"/>
        <v>0</v>
      </c>
      <c r="L133" s="21">
        <f t="shared" si="44"/>
        <v>0</v>
      </c>
    </row>
    <row r="134" spans="1:13" ht="14.5" customHeight="1" x14ac:dyDescent="0.35">
      <c r="A134" s="21">
        <v>30</v>
      </c>
      <c r="B134" s="21">
        <v>4</v>
      </c>
      <c r="C134" s="21">
        <f t="shared" si="47"/>
        <v>30.333333333333332</v>
      </c>
      <c r="D134" s="21">
        <v>0.24</v>
      </c>
      <c r="E134" s="21">
        <v>0.26</v>
      </c>
      <c r="H134" s="21">
        <f t="shared" si="42"/>
        <v>30.333333333333332</v>
      </c>
      <c r="I134" s="21">
        <f t="shared" si="42"/>
        <v>0.24</v>
      </c>
      <c r="J134" s="21">
        <f>((H135-H133)/2)*I134</f>
        <v>7.0000000000000284E-2</v>
      </c>
      <c r="K134" s="21">
        <f t="shared" si="43"/>
        <v>0.26</v>
      </c>
      <c r="L134" s="21">
        <f t="shared" si="44"/>
        <v>1.8200000000000074E-2</v>
      </c>
    </row>
    <row r="135" spans="1:13" ht="14.5" customHeight="1" x14ac:dyDescent="0.35">
      <c r="A135" s="21">
        <v>30</v>
      </c>
      <c r="B135" s="21">
        <v>8</v>
      </c>
      <c r="C135" s="21">
        <f>A135+(B135/12)</f>
        <v>30.666666666666668</v>
      </c>
      <c r="D135" s="21">
        <v>0</v>
      </c>
      <c r="F135" s="21" t="s">
        <v>20</v>
      </c>
      <c r="H135" s="21">
        <f t="shared" si="42"/>
        <v>30.666666666666668</v>
      </c>
      <c r="I135" s="21">
        <f t="shared" si="42"/>
        <v>0</v>
      </c>
      <c r="K135" s="21">
        <f t="shared" si="43"/>
        <v>0</v>
      </c>
      <c r="L135" s="21">
        <f t="shared" si="44"/>
        <v>0</v>
      </c>
    </row>
    <row r="137" spans="1:13" ht="14.5" customHeight="1" x14ac:dyDescent="0.35">
      <c r="A137" s="16" t="s">
        <v>97</v>
      </c>
      <c r="B137" s="24">
        <f>SUM(J112:J135)</f>
        <v>9.48</v>
      </c>
      <c r="C137" s="12" t="s">
        <v>101</v>
      </c>
      <c r="D137" s="18" t="s">
        <v>111</v>
      </c>
      <c r="E137" s="12">
        <v>143.7765</v>
      </c>
      <c r="F137" s="12" t="s">
        <v>58</v>
      </c>
      <c r="G137" s="12"/>
      <c r="H137" s="20"/>
    </row>
    <row r="138" spans="1:13" ht="14.5" customHeight="1" x14ac:dyDescent="0.35">
      <c r="A138" s="12" t="s">
        <v>99</v>
      </c>
      <c r="B138" s="18">
        <f>SUM(L112:L135)</f>
        <v>12.441425000000001</v>
      </c>
      <c r="C138" s="12" t="s">
        <v>100</v>
      </c>
      <c r="D138" s="18" t="s">
        <v>94</v>
      </c>
      <c r="E138" s="12">
        <f>SUM(AC:AC)</f>
        <v>9.4799881500000946</v>
      </c>
      <c r="F138" s="12" t="s">
        <v>101</v>
      </c>
      <c r="G138" s="12"/>
      <c r="H138" s="20"/>
    </row>
    <row r="139" spans="1:13" ht="14.5" customHeight="1" x14ac:dyDescent="0.35">
      <c r="A139" s="12" t="s">
        <v>98</v>
      </c>
      <c r="B139" s="25">
        <f>B137/E140</f>
        <v>0.63553072625698337</v>
      </c>
      <c r="C139" s="12" t="s">
        <v>58</v>
      </c>
      <c r="D139" s="18" t="s">
        <v>112</v>
      </c>
      <c r="E139" s="21">
        <f>B137-E138</f>
        <v>1.1849999905777509E-5</v>
      </c>
      <c r="F139" s="12" t="s">
        <v>101</v>
      </c>
      <c r="G139" s="12" t="s">
        <v>175</v>
      </c>
      <c r="H139" s="20">
        <f>H135-H112</f>
        <v>26</v>
      </c>
    </row>
    <row r="140" spans="1:13" ht="14.5" customHeight="1" x14ac:dyDescent="0.35">
      <c r="A140" s="12" t="s">
        <v>102</v>
      </c>
      <c r="B140" s="21">
        <f>B138/B137</f>
        <v>1.3123866033755274</v>
      </c>
      <c r="C140" s="12" t="s">
        <v>103</v>
      </c>
      <c r="D140" s="18" t="s">
        <v>127</v>
      </c>
      <c r="E140" s="12">
        <f>SUM(M112:M135)</f>
        <v>14.916666666666664</v>
      </c>
      <c r="F140" s="12" t="s">
        <v>58</v>
      </c>
      <c r="G140" s="12" t="s">
        <v>180</v>
      </c>
      <c r="H140" s="36">
        <f>H139/$D$172</f>
        <v>0.96000000000000008</v>
      </c>
    </row>
    <row r="142" spans="1:13" ht="14.5" customHeight="1" x14ac:dyDescent="0.35">
      <c r="A142" s="12" t="s">
        <v>105</v>
      </c>
      <c r="B142" s="12"/>
      <c r="C142" s="17" t="s">
        <v>13</v>
      </c>
      <c r="D142" s="17" t="s">
        <v>29</v>
      </c>
      <c r="E142" s="12" t="s">
        <v>7</v>
      </c>
      <c r="F142" s="12" t="s">
        <v>3</v>
      </c>
      <c r="G142" s="12"/>
      <c r="H142" s="12" t="s">
        <v>96</v>
      </c>
      <c r="I142" s="12" t="s">
        <v>6</v>
      </c>
      <c r="J142" s="12" t="s">
        <v>94</v>
      </c>
      <c r="K142" s="12" t="s">
        <v>7</v>
      </c>
      <c r="L142" s="12" t="s">
        <v>95</v>
      </c>
      <c r="M142" s="21" t="s">
        <v>127</v>
      </c>
    </row>
    <row r="143" spans="1:13" ht="14.5" customHeight="1" x14ac:dyDescent="0.35">
      <c r="A143" s="21">
        <v>4</v>
      </c>
      <c r="B143" s="21">
        <v>0</v>
      </c>
      <c r="C143" s="21">
        <f>A143+(B143/12)</f>
        <v>4</v>
      </c>
      <c r="F143" s="21" t="s">
        <v>12</v>
      </c>
      <c r="H143" s="21">
        <f>C143</f>
        <v>4</v>
      </c>
      <c r="K143" s="21">
        <f>E143</f>
        <v>0</v>
      </c>
      <c r="L143" s="21">
        <f>J143*K143</f>
        <v>0</v>
      </c>
    </row>
    <row r="144" spans="1:13" ht="14.5" customHeight="1" x14ac:dyDescent="0.35">
      <c r="A144" s="21">
        <v>4</v>
      </c>
      <c r="B144" s="21">
        <v>9</v>
      </c>
      <c r="C144" s="21">
        <f>A144+(B144/12)</f>
        <v>4.75</v>
      </c>
      <c r="D144" s="21">
        <v>0.2</v>
      </c>
      <c r="E144" s="21">
        <v>0.03</v>
      </c>
      <c r="H144" s="21">
        <f t="shared" ref="H144:H165" si="48">C144</f>
        <v>4.75</v>
      </c>
      <c r="I144" s="21">
        <f t="shared" ref="I144:I163" si="49">D144</f>
        <v>0.2</v>
      </c>
      <c r="J144" s="21">
        <f>((H144-H143)/2)*I144</f>
        <v>7.5000000000000011E-2</v>
      </c>
      <c r="K144" s="21">
        <f t="shared" ref="K144:K163" si="50">E144</f>
        <v>0.03</v>
      </c>
      <c r="L144" s="21">
        <f t="shared" ref="L144:L163" si="51">J144*K144</f>
        <v>2.2500000000000003E-3</v>
      </c>
    </row>
    <row r="145" spans="1:13" ht="14.5" customHeight="1" x14ac:dyDescent="0.35">
      <c r="A145" s="21">
        <v>5</v>
      </c>
      <c r="B145" s="21">
        <v>5</v>
      </c>
      <c r="C145" s="21">
        <f>A145+(B145/12)</f>
        <v>5.416666666666667</v>
      </c>
      <c r="D145" s="21">
        <v>0.86</v>
      </c>
      <c r="E145" s="21">
        <v>0.46</v>
      </c>
      <c r="F145" s="21" t="s">
        <v>121</v>
      </c>
      <c r="H145" s="21">
        <f t="shared" si="48"/>
        <v>5.416666666666667</v>
      </c>
      <c r="I145" s="21">
        <f t="shared" si="49"/>
        <v>0.86</v>
      </c>
      <c r="J145" s="21">
        <f>((H145-H144)+((H146-H145)/2))*I145</f>
        <v>1.1108333333333336</v>
      </c>
      <c r="K145" s="21">
        <f t="shared" si="50"/>
        <v>0.46</v>
      </c>
      <c r="L145" s="21">
        <f t="shared" si="51"/>
        <v>0.51098333333333346</v>
      </c>
    </row>
    <row r="146" spans="1:13" ht="14.5" customHeight="1" x14ac:dyDescent="0.35">
      <c r="A146" s="21">
        <v>6</v>
      </c>
      <c r="B146" s="21">
        <v>8</v>
      </c>
      <c r="C146" s="21">
        <f>A146+(B146/12)</f>
        <v>6.666666666666667</v>
      </c>
      <c r="D146" s="21">
        <v>0.82</v>
      </c>
      <c r="E146" s="21">
        <v>1.18</v>
      </c>
      <c r="H146" s="21">
        <f t="shared" si="48"/>
        <v>6.666666666666667</v>
      </c>
      <c r="I146" s="21">
        <f t="shared" si="49"/>
        <v>0.82</v>
      </c>
      <c r="J146" s="21">
        <f>((H147-H145)/2)*I146</f>
        <v>1.3324999999999996</v>
      </c>
      <c r="K146" s="21">
        <f t="shared" si="50"/>
        <v>1.18</v>
      </c>
      <c r="L146" s="21">
        <f t="shared" si="51"/>
        <v>1.5723499999999995</v>
      </c>
    </row>
    <row r="147" spans="1:13" ht="14.5" customHeight="1" x14ac:dyDescent="0.35">
      <c r="A147" s="21">
        <v>8</v>
      </c>
      <c r="B147" s="21">
        <v>8</v>
      </c>
      <c r="C147" s="21">
        <f>A147+(B147/12)</f>
        <v>8.6666666666666661</v>
      </c>
      <c r="D147" s="21">
        <v>1.35</v>
      </c>
      <c r="E147" s="21">
        <v>2.21</v>
      </c>
      <c r="H147" s="21">
        <f t="shared" si="48"/>
        <v>8.6666666666666661</v>
      </c>
      <c r="I147" s="21">
        <f t="shared" si="49"/>
        <v>1.35</v>
      </c>
      <c r="J147" s="21">
        <f>(((H147-H146)/2)+(H148-H147))*I147</f>
        <v>2.6999999999999997</v>
      </c>
      <c r="K147" s="21">
        <f t="shared" si="50"/>
        <v>2.21</v>
      </c>
      <c r="L147" s="21">
        <f t="shared" si="51"/>
        <v>5.9669999999999996</v>
      </c>
    </row>
    <row r="148" spans="1:13" ht="14.5" customHeight="1" x14ac:dyDescent="0.35">
      <c r="A148" s="21">
        <v>9</v>
      </c>
      <c r="B148" s="21">
        <v>8</v>
      </c>
      <c r="C148" s="21">
        <f t="shared" ref="C148:C164" si="52">A148+(B148/12)</f>
        <v>9.6666666666666661</v>
      </c>
      <c r="F148" s="21" t="s">
        <v>122</v>
      </c>
      <c r="H148" s="21">
        <f t="shared" si="48"/>
        <v>9.6666666666666661</v>
      </c>
      <c r="M148" s="21">
        <f>H148-H143</f>
        <v>5.6666666666666661</v>
      </c>
    </row>
    <row r="149" spans="1:13" ht="14.5" customHeight="1" x14ac:dyDescent="0.35">
      <c r="A149" s="21">
        <v>11</v>
      </c>
      <c r="B149" s="21">
        <v>1</v>
      </c>
      <c r="C149" s="21">
        <f t="shared" si="52"/>
        <v>11.083333333333334</v>
      </c>
      <c r="D149" s="21">
        <v>0.3</v>
      </c>
      <c r="E149" s="21">
        <v>1.8</v>
      </c>
      <c r="H149" s="21">
        <f t="shared" si="48"/>
        <v>11.083333333333334</v>
      </c>
      <c r="I149" s="21">
        <f t="shared" si="49"/>
        <v>0.3</v>
      </c>
      <c r="J149" s="21">
        <f>(H150-H148)*I149</f>
        <v>0.70000000000000018</v>
      </c>
      <c r="K149" s="21">
        <f t="shared" si="50"/>
        <v>1.8</v>
      </c>
      <c r="L149" s="21">
        <f t="shared" si="51"/>
        <v>1.2600000000000005</v>
      </c>
    </row>
    <row r="150" spans="1:13" ht="14.5" customHeight="1" x14ac:dyDescent="0.35">
      <c r="A150" s="21">
        <v>12</v>
      </c>
      <c r="B150" s="21">
        <v>0</v>
      </c>
      <c r="C150" s="21">
        <f t="shared" si="52"/>
        <v>12</v>
      </c>
      <c r="F150" s="21" t="s">
        <v>122</v>
      </c>
      <c r="H150" s="21">
        <f t="shared" si="48"/>
        <v>12</v>
      </c>
      <c r="M150" s="21">
        <f>H150-H148</f>
        <v>2.3333333333333339</v>
      </c>
    </row>
    <row r="151" spans="1:13" ht="14.5" customHeight="1" x14ac:dyDescent="0.35">
      <c r="A151" s="21">
        <v>13</v>
      </c>
      <c r="B151" s="21">
        <v>2</v>
      </c>
      <c r="C151" s="21">
        <f t="shared" si="52"/>
        <v>13.166666666666666</v>
      </c>
      <c r="D151" s="21">
        <v>0.8</v>
      </c>
      <c r="E151" s="21">
        <v>2.59</v>
      </c>
      <c r="H151" s="21">
        <f t="shared" si="48"/>
        <v>13.166666666666666</v>
      </c>
      <c r="I151" s="21">
        <f t="shared" si="49"/>
        <v>0.8</v>
      </c>
      <c r="J151" s="21">
        <f>(H152-H150)*I151</f>
        <v>1.333333333333333</v>
      </c>
      <c r="K151" s="21">
        <f t="shared" si="50"/>
        <v>2.59</v>
      </c>
      <c r="L151" s="21">
        <f t="shared" si="51"/>
        <v>3.4533333333333323</v>
      </c>
    </row>
    <row r="152" spans="1:13" ht="14.5" customHeight="1" x14ac:dyDescent="0.35">
      <c r="A152" s="21">
        <v>13</v>
      </c>
      <c r="B152" s="21">
        <v>8</v>
      </c>
      <c r="C152" s="21">
        <f t="shared" si="52"/>
        <v>13.666666666666666</v>
      </c>
      <c r="F152" s="21" t="s">
        <v>123</v>
      </c>
      <c r="H152" s="21">
        <f t="shared" si="48"/>
        <v>13.666666666666666</v>
      </c>
      <c r="M152" s="21">
        <f>H152-H150</f>
        <v>1.6666666666666661</v>
      </c>
    </row>
    <row r="153" spans="1:13" ht="14.5" customHeight="1" x14ac:dyDescent="0.35">
      <c r="A153" s="21">
        <v>20</v>
      </c>
      <c r="B153" s="21">
        <v>2</v>
      </c>
      <c r="C153" s="21">
        <f t="shared" si="52"/>
        <v>20.166666666666668</v>
      </c>
      <c r="F153" s="21" t="s">
        <v>121</v>
      </c>
      <c r="H153" s="21">
        <f t="shared" si="48"/>
        <v>20.166666666666668</v>
      </c>
    </row>
    <row r="154" spans="1:13" ht="14.5" customHeight="1" x14ac:dyDescent="0.35">
      <c r="A154" s="21">
        <v>21</v>
      </c>
      <c r="B154" s="21">
        <v>6</v>
      </c>
      <c r="C154" s="21">
        <f t="shared" si="52"/>
        <v>21.5</v>
      </c>
      <c r="D154" s="21">
        <v>0.7</v>
      </c>
      <c r="E154" s="21">
        <v>2.83</v>
      </c>
      <c r="H154" s="21">
        <f t="shared" si="48"/>
        <v>21.5</v>
      </c>
      <c r="I154" s="21">
        <f t="shared" si="49"/>
        <v>0.7</v>
      </c>
      <c r="J154" s="21">
        <f>(H155-H153)*I154</f>
        <v>1.4583333333333324</v>
      </c>
      <c r="K154" s="21">
        <f t="shared" si="50"/>
        <v>2.83</v>
      </c>
      <c r="L154" s="21">
        <f t="shared" si="51"/>
        <v>4.1270833333333306</v>
      </c>
    </row>
    <row r="155" spans="1:13" ht="14.5" customHeight="1" x14ac:dyDescent="0.35">
      <c r="A155" s="21">
        <v>22</v>
      </c>
      <c r="B155" s="21">
        <v>3</v>
      </c>
      <c r="C155" s="21">
        <f t="shared" si="52"/>
        <v>22.25</v>
      </c>
      <c r="F155" s="21" t="s">
        <v>123</v>
      </c>
      <c r="H155" s="21">
        <f t="shared" si="48"/>
        <v>22.25</v>
      </c>
      <c r="M155" s="21">
        <f>H155-H153</f>
        <v>2.0833333333333321</v>
      </c>
    </row>
    <row r="156" spans="1:13" ht="14.5" customHeight="1" x14ac:dyDescent="0.35">
      <c r="A156" s="21">
        <v>24</v>
      </c>
      <c r="B156" s="21">
        <v>5</v>
      </c>
      <c r="C156" s="21">
        <f t="shared" si="52"/>
        <v>24.416666666666668</v>
      </c>
      <c r="F156" s="21" t="s">
        <v>121</v>
      </c>
      <c r="H156" s="21">
        <f t="shared" si="48"/>
        <v>24.416666666666668</v>
      </c>
    </row>
    <row r="157" spans="1:13" ht="14.5" customHeight="1" x14ac:dyDescent="0.35">
      <c r="A157" s="21">
        <v>25</v>
      </c>
      <c r="B157" s="21">
        <v>3</v>
      </c>
      <c r="C157" s="21">
        <f t="shared" si="52"/>
        <v>25.25</v>
      </c>
      <c r="D157" s="21">
        <v>1</v>
      </c>
      <c r="E157" s="21">
        <v>1.0900000000000001</v>
      </c>
      <c r="H157" s="21">
        <f t="shared" si="48"/>
        <v>25.25</v>
      </c>
      <c r="I157" s="21">
        <f t="shared" si="49"/>
        <v>1</v>
      </c>
      <c r="J157" s="21">
        <f>(H158-H156)*I157</f>
        <v>1.5833333333333321</v>
      </c>
      <c r="K157" s="21">
        <f t="shared" si="50"/>
        <v>1.0900000000000001</v>
      </c>
      <c r="L157" s="21">
        <f t="shared" si="51"/>
        <v>1.7258333333333322</v>
      </c>
    </row>
    <row r="158" spans="1:13" ht="14.5" customHeight="1" x14ac:dyDescent="0.35">
      <c r="A158" s="21">
        <v>26</v>
      </c>
      <c r="B158" s="21">
        <v>0</v>
      </c>
      <c r="C158" s="21">
        <f t="shared" si="52"/>
        <v>26</v>
      </c>
      <c r="F158" s="21" t="s">
        <v>123</v>
      </c>
      <c r="H158" s="21">
        <f t="shared" si="48"/>
        <v>26</v>
      </c>
      <c r="M158" s="21">
        <f>H158-H156</f>
        <v>1.5833333333333321</v>
      </c>
    </row>
    <row r="159" spans="1:13" ht="14.5" customHeight="1" x14ac:dyDescent="0.35">
      <c r="A159" s="21">
        <v>27</v>
      </c>
      <c r="B159" s="21">
        <v>4</v>
      </c>
      <c r="C159" s="21">
        <f t="shared" si="52"/>
        <v>27.333333333333332</v>
      </c>
      <c r="F159" s="21" t="s">
        <v>121</v>
      </c>
      <c r="H159" s="21">
        <f t="shared" si="48"/>
        <v>27.333333333333332</v>
      </c>
    </row>
    <row r="160" spans="1:13" ht="14.5" customHeight="1" x14ac:dyDescent="0.35">
      <c r="A160" s="21">
        <v>27</v>
      </c>
      <c r="B160" s="21">
        <v>9</v>
      </c>
      <c r="C160" s="21">
        <f t="shared" si="52"/>
        <v>27.75</v>
      </c>
      <c r="D160" s="21">
        <v>1</v>
      </c>
      <c r="E160" s="21">
        <v>0.3</v>
      </c>
      <c r="H160" s="21">
        <f t="shared" si="48"/>
        <v>27.75</v>
      </c>
      <c r="I160" s="21">
        <f t="shared" si="49"/>
        <v>1</v>
      </c>
      <c r="J160" s="21">
        <f>(H161-H159)*I160</f>
        <v>0.91666666666666785</v>
      </c>
      <c r="K160" s="21">
        <f t="shared" si="50"/>
        <v>0.3</v>
      </c>
      <c r="L160" s="21">
        <f t="shared" si="51"/>
        <v>0.27500000000000036</v>
      </c>
    </row>
    <row r="161" spans="1:15" ht="14.5" customHeight="1" x14ac:dyDescent="0.35">
      <c r="A161" s="21">
        <v>28</v>
      </c>
      <c r="B161" s="21">
        <v>3</v>
      </c>
      <c r="C161" s="21">
        <f t="shared" si="52"/>
        <v>28.25</v>
      </c>
      <c r="F161" s="21" t="s">
        <v>123</v>
      </c>
      <c r="H161" s="21">
        <f t="shared" si="48"/>
        <v>28.25</v>
      </c>
      <c r="M161" s="21">
        <f>H161-H159</f>
        <v>0.91666666666666785</v>
      </c>
    </row>
    <row r="162" spans="1:15" ht="14.5" customHeight="1" x14ac:dyDescent="0.35">
      <c r="A162" s="21">
        <v>29</v>
      </c>
      <c r="B162" s="21">
        <v>7</v>
      </c>
      <c r="C162" s="21">
        <f t="shared" si="52"/>
        <v>29.583333333333332</v>
      </c>
      <c r="F162" s="21" t="s">
        <v>121</v>
      </c>
      <c r="H162" s="21">
        <f t="shared" si="48"/>
        <v>29.583333333333332</v>
      </c>
    </row>
    <row r="163" spans="1:15" ht="14.5" customHeight="1" x14ac:dyDescent="0.35">
      <c r="A163" s="21">
        <v>30</v>
      </c>
      <c r="B163" s="21">
        <v>2</v>
      </c>
      <c r="C163" s="21">
        <f t="shared" si="52"/>
        <v>30.166666666666668</v>
      </c>
      <c r="D163" s="21">
        <v>0.3</v>
      </c>
      <c r="E163" s="21">
        <v>0.81</v>
      </c>
      <c r="H163" s="21">
        <f t="shared" si="48"/>
        <v>30.166666666666668</v>
      </c>
      <c r="I163" s="21">
        <f t="shared" si="49"/>
        <v>0.3</v>
      </c>
      <c r="J163" s="21">
        <f>((H164-H162)+((H165-H164)/2))*I163</f>
        <v>0.33749999999999997</v>
      </c>
      <c r="K163" s="21">
        <f t="shared" si="50"/>
        <v>0.81</v>
      </c>
      <c r="L163" s="21">
        <f t="shared" si="51"/>
        <v>0.27337499999999998</v>
      </c>
    </row>
    <row r="164" spans="1:15" ht="14.5" customHeight="1" x14ac:dyDescent="0.35">
      <c r="A164" s="21">
        <v>30</v>
      </c>
      <c r="B164" s="21">
        <v>7</v>
      </c>
      <c r="C164" s="21">
        <f t="shared" si="52"/>
        <v>30.583333333333332</v>
      </c>
      <c r="F164" s="21" t="s">
        <v>123</v>
      </c>
      <c r="H164" s="21">
        <f t="shared" si="48"/>
        <v>30.583333333333332</v>
      </c>
    </row>
    <row r="165" spans="1:15" ht="14.5" customHeight="1" x14ac:dyDescent="0.35">
      <c r="A165" s="21">
        <v>30</v>
      </c>
      <c r="B165" s="21">
        <v>10</v>
      </c>
      <c r="C165" s="21">
        <f>A165+(B165/12)</f>
        <v>30.833333333333332</v>
      </c>
      <c r="F165" s="21" t="s">
        <v>36</v>
      </c>
      <c r="H165" s="21">
        <f t="shared" si="48"/>
        <v>30.833333333333332</v>
      </c>
      <c r="M165" s="21">
        <f>H165-H162</f>
        <v>1.25</v>
      </c>
    </row>
    <row r="167" spans="1:15" ht="14.5" customHeight="1" x14ac:dyDescent="0.35">
      <c r="A167" s="16" t="s">
        <v>97</v>
      </c>
      <c r="B167" s="24">
        <f>SUM(J143:J165)</f>
        <v>11.547499999999999</v>
      </c>
      <c r="C167" s="12" t="s">
        <v>101</v>
      </c>
      <c r="D167" s="18" t="s">
        <v>111</v>
      </c>
      <c r="E167" s="12">
        <v>143.92160000000001</v>
      </c>
      <c r="F167" s="12" t="s">
        <v>58</v>
      </c>
      <c r="G167" s="12"/>
      <c r="H167" s="20"/>
    </row>
    <row r="168" spans="1:15" ht="14.5" customHeight="1" x14ac:dyDescent="0.35">
      <c r="A168" s="12" t="s">
        <v>99</v>
      </c>
      <c r="B168" s="18">
        <f>SUM(L143:L165)</f>
        <v>19.167208333333328</v>
      </c>
      <c r="C168" s="12" t="s">
        <v>100</v>
      </c>
      <c r="D168" s="18" t="s">
        <v>94</v>
      </c>
      <c r="E168" s="12">
        <f>SUM(AG:AG)</f>
        <v>11.547252200000507</v>
      </c>
      <c r="F168" s="12" t="s">
        <v>101</v>
      </c>
      <c r="G168" s="12"/>
      <c r="H168" s="20"/>
    </row>
    <row r="169" spans="1:15" ht="14.5" customHeight="1" x14ac:dyDescent="0.35">
      <c r="A169" s="12" t="s">
        <v>98</v>
      </c>
      <c r="B169" s="25">
        <f>B167/E170</f>
        <v>0.745</v>
      </c>
      <c r="C169" s="12" t="s">
        <v>58</v>
      </c>
      <c r="D169" s="18" t="s">
        <v>112</v>
      </c>
      <c r="E169" s="21">
        <f>B167-E168</f>
        <v>2.4779999949231524E-4</v>
      </c>
      <c r="F169" s="12" t="s">
        <v>101</v>
      </c>
      <c r="G169" s="12" t="s">
        <v>175</v>
      </c>
      <c r="H169" s="20">
        <f>H165-H143</f>
        <v>26.833333333333332</v>
      </c>
    </row>
    <row r="170" spans="1:15" ht="14.5" customHeight="1" x14ac:dyDescent="0.35">
      <c r="A170" s="12" t="s">
        <v>102</v>
      </c>
      <c r="B170" s="21">
        <f>B168/B167</f>
        <v>1.6598578335859129</v>
      </c>
      <c r="C170" s="12" t="s">
        <v>103</v>
      </c>
      <c r="D170" s="18" t="s">
        <v>127</v>
      </c>
      <c r="E170" s="12">
        <f>SUM(M143:M165)</f>
        <v>15.499999999999998</v>
      </c>
      <c r="F170" s="12" t="s">
        <v>58</v>
      </c>
      <c r="G170" s="12" t="s">
        <v>180</v>
      </c>
      <c r="H170" s="36">
        <f>H169/$D$172</f>
        <v>0.99076923076923074</v>
      </c>
    </row>
    <row r="172" spans="1:15" ht="14.5" customHeight="1" x14ac:dyDescent="0.35">
      <c r="A172" s="12" t="s">
        <v>178</v>
      </c>
      <c r="B172" s="12">
        <v>27</v>
      </c>
      <c r="C172" s="12">
        <v>1</v>
      </c>
      <c r="D172" s="15">
        <f>B172+(C172/12)</f>
        <v>27.083333333333332</v>
      </c>
      <c r="E172" s="12" t="s">
        <v>58</v>
      </c>
      <c r="O172" s="20"/>
    </row>
    <row r="173" spans="1:15" ht="14.5" customHeight="1" x14ac:dyDescent="0.35">
      <c r="O173" s="20"/>
    </row>
    <row r="175" spans="1:15" ht="14.5" customHeight="1" x14ac:dyDescent="0.35">
      <c r="D175" s="15" t="s">
        <v>70</v>
      </c>
      <c r="E175" s="12"/>
      <c r="F175" s="12" t="s">
        <v>71</v>
      </c>
      <c r="H175" s="15"/>
      <c r="I175" s="12"/>
      <c r="J175" s="12"/>
    </row>
    <row r="176" spans="1:15" ht="14.5" customHeight="1" x14ac:dyDescent="0.35">
      <c r="D176" s="15">
        <v>1</v>
      </c>
      <c r="E176" s="12" t="s">
        <v>69</v>
      </c>
      <c r="F176" s="12">
        <v>10</v>
      </c>
      <c r="H176" s="15"/>
      <c r="I176" s="12"/>
      <c r="J176" s="12"/>
    </row>
    <row r="177" spans="4:10" ht="14.5" customHeight="1" x14ac:dyDescent="0.35">
      <c r="D177" s="15">
        <v>1.5</v>
      </c>
      <c r="E177" s="12">
        <v>1</v>
      </c>
      <c r="F177" s="12">
        <f>F176+((F178-F176)*(($D177-$D176)/($D178-$D176)))</f>
        <v>15</v>
      </c>
      <c r="H177" s="15"/>
      <c r="I177" s="12"/>
      <c r="J177" s="12"/>
    </row>
    <row r="178" spans="4:10" ht="14.5" customHeight="1" x14ac:dyDescent="0.35">
      <c r="D178" s="15">
        <v>2</v>
      </c>
      <c r="E178" s="12" t="s">
        <v>69</v>
      </c>
      <c r="F178" s="12">
        <v>20</v>
      </c>
      <c r="H178" s="15"/>
      <c r="I178" s="12"/>
      <c r="J178" s="12"/>
    </row>
    <row r="179" spans="4:10" ht="14.5" customHeight="1" x14ac:dyDescent="0.35">
      <c r="D179" s="15">
        <v>2.33</v>
      </c>
      <c r="E179" s="12">
        <v>2</v>
      </c>
      <c r="F179" s="12">
        <f>F178+((F181-F178)*(($D179-$D178)/($D181-$D178)))</f>
        <v>23.3</v>
      </c>
      <c r="H179" s="15"/>
      <c r="I179" s="12"/>
      <c r="J179" s="12"/>
    </row>
    <row r="180" spans="4:10" ht="14.5" customHeight="1" x14ac:dyDescent="0.35">
      <c r="D180" s="15">
        <v>2.67</v>
      </c>
      <c r="E180" s="12">
        <v>2</v>
      </c>
      <c r="F180" s="12">
        <f>F178+((F181-F178)*(($D180-$D178)/($D181-$D178)))</f>
        <v>26.7</v>
      </c>
      <c r="H180" s="15"/>
      <c r="I180" s="12"/>
      <c r="J180" s="12"/>
    </row>
    <row r="181" spans="4:10" ht="14.5" customHeight="1" x14ac:dyDescent="0.35">
      <c r="D181" s="15">
        <v>3</v>
      </c>
      <c r="E181" s="12" t="s">
        <v>69</v>
      </c>
      <c r="F181" s="12">
        <v>30</v>
      </c>
      <c r="H181" s="15"/>
      <c r="I181" s="12"/>
      <c r="J181" s="12"/>
    </row>
    <row r="182" spans="4:10" ht="14.5" customHeight="1" x14ac:dyDescent="0.35">
      <c r="D182" s="15">
        <v>3.25</v>
      </c>
      <c r="E182" s="12">
        <v>3</v>
      </c>
      <c r="F182" s="12">
        <f>F181+((F185-F181)*(($D182-$D181)/($D185-$D181)))</f>
        <v>32.5</v>
      </c>
      <c r="H182" s="15"/>
      <c r="I182" s="12"/>
      <c r="J182" s="12"/>
    </row>
    <row r="183" spans="4:10" ht="14.5" customHeight="1" x14ac:dyDescent="0.35">
      <c r="D183" s="15">
        <v>3.5</v>
      </c>
      <c r="E183" s="12">
        <v>3</v>
      </c>
      <c r="F183" s="12">
        <f>F181+((F185-F181)*(($D183-$D181)/($D185-$D181)))</f>
        <v>35</v>
      </c>
      <c r="H183" s="15"/>
      <c r="I183" s="12"/>
      <c r="J183" s="12"/>
    </row>
    <row r="184" spans="4:10" ht="14.5" customHeight="1" x14ac:dyDescent="0.35">
      <c r="D184" s="15">
        <v>3.75</v>
      </c>
      <c r="E184" s="12">
        <v>3</v>
      </c>
      <c r="F184" s="12">
        <f>F181+((F185-F181)*(($D184-$D181)/($D185-$D181)))</f>
        <v>37.5</v>
      </c>
      <c r="H184" s="15"/>
      <c r="I184" s="12"/>
      <c r="J184" s="12"/>
    </row>
    <row r="185" spans="4:10" ht="14.5" customHeight="1" x14ac:dyDescent="0.35">
      <c r="D185" s="15">
        <v>4</v>
      </c>
      <c r="E185" s="12" t="s">
        <v>69</v>
      </c>
      <c r="F185" s="12">
        <v>40</v>
      </c>
      <c r="H185" s="15"/>
      <c r="I185" s="12"/>
      <c r="J185" s="12"/>
    </row>
    <row r="186" spans="4:10" ht="14.5" customHeight="1" x14ac:dyDescent="0.35">
      <c r="D186" s="15">
        <v>4.2</v>
      </c>
      <c r="E186" s="12">
        <v>4</v>
      </c>
      <c r="F186" s="12">
        <f>F185+((F190-F185)*(($D186-$D185)/($D190-$D185)))</f>
        <v>42</v>
      </c>
      <c r="H186" s="15"/>
      <c r="I186" s="12"/>
      <c r="J186" s="12"/>
    </row>
    <row r="187" spans="4:10" ht="14.5" customHeight="1" x14ac:dyDescent="0.35">
      <c r="D187" s="15">
        <v>4.4000000000000004</v>
      </c>
      <c r="E187" s="12">
        <v>4</v>
      </c>
      <c r="F187" s="12">
        <f>F185+((F190-F185)*(($D187-$D185)/($D190-$D185)))</f>
        <v>44</v>
      </c>
      <c r="H187" s="15"/>
      <c r="I187" s="12"/>
      <c r="J187" s="12"/>
    </row>
    <row r="188" spans="4:10" ht="14.5" customHeight="1" x14ac:dyDescent="0.35">
      <c r="D188" s="15">
        <v>4.5999999999999996</v>
      </c>
      <c r="E188" s="12">
        <v>4</v>
      </c>
      <c r="F188" s="12">
        <f>F185+((F190-F185)*(($D188-$D185)/($D190-$D185)))</f>
        <v>46</v>
      </c>
      <c r="H188" s="15"/>
      <c r="I188" s="12"/>
      <c r="J188" s="12"/>
    </row>
    <row r="189" spans="4:10" ht="14.5" customHeight="1" x14ac:dyDescent="0.35">
      <c r="D189" s="15">
        <v>4.8</v>
      </c>
      <c r="E189" s="12">
        <v>4</v>
      </c>
      <c r="F189" s="12">
        <f>F185+((F190-F185)*(($D189-$D185)/($D190-$D185)))</f>
        <v>48</v>
      </c>
      <c r="H189" s="15"/>
      <c r="I189" s="12"/>
      <c r="J189" s="12"/>
    </row>
    <row r="190" spans="4:10" ht="14.5" customHeight="1" x14ac:dyDescent="0.35">
      <c r="D190" s="15">
        <v>5</v>
      </c>
      <c r="E190" s="12" t="s">
        <v>69</v>
      </c>
      <c r="F190" s="12">
        <v>50</v>
      </c>
      <c r="H190" s="15"/>
      <c r="I190" s="12"/>
      <c r="J190" s="12"/>
    </row>
    <row r="191" spans="4:10" ht="14.5" customHeight="1" x14ac:dyDescent="0.35">
      <c r="D191" s="15">
        <f>D190+(1/6)</f>
        <v>5.166666666666667</v>
      </c>
      <c r="E191" s="12">
        <v>5</v>
      </c>
      <c r="F191" s="12">
        <f>F190+((F196-F190)*(($D191-$D190)/($D196-$D190)))</f>
        <v>51.666666666666664</v>
      </c>
      <c r="H191" s="15"/>
      <c r="I191" s="12"/>
      <c r="J191" s="12"/>
    </row>
    <row r="192" spans="4:10" ht="14.5" customHeight="1" x14ac:dyDescent="0.35">
      <c r="D192" s="15">
        <f t="shared" ref="D192:D196" si="53">D191+(1/6)</f>
        <v>5.3333333333333339</v>
      </c>
      <c r="E192" s="12">
        <v>5</v>
      </c>
      <c r="F192" s="12">
        <f>F190+((F196-F190)*(($D192-$D190)/($D196-$D190)))</f>
        <v>53.333333333333336</v>
      </c>
      <c r="H192" s="15"/>
      <c r="I192" s="12"/>
      <c r="J192" s="12"/>
    </row>
    <row r="193" spans="4:10" ht="14.5" customHeight="1" x14ac:dyDescent="0.35">
      <c r="D193" s="15">
        <f t="shared" si="53"/>
        <v>5.5000000000000009</v>
      </c>
      <c r="E193" s="12">
        <v>5</v>
      </c>
      <c r="F193" s="12">
        <f>F190+((F196-F190)*(($D193-$D190)/($D196-$D190)))</f>
        <v>55</v>
      </c>
      <c r="H193" s="15"/>
      <c r="I193" s="12"/>
      <c r="J193" s="12"/>
    </row>
    <row r="194" spans="4:10" ht="14.5" customHeight="1" x14ac:dyDescent="0.35">
      <c r="D194" s="15">
        <f t="shared" si="53"/>
        <v>5.6666666666666679</v>
      </c>
      <c r="E194" s="12">
        <v>5</v>
      </c>
      <c r="F194" s="12">
        <f>F190+((F196-F190)*(($D194-$D190)/($D196-$D190)))</f>
        <v>56.666666666666664</v>
      </c>
      <c r="H194" s="15"/>
      <c r="I194" s="12"/>
      <c r="J194" s="12"/>
    </row>
    <row r="195" spans="4:10" ht="14.5" customHeight="1" x14ac:dyDescent="0.35">
      <c r="D195" s="15">
        <f t="shared" si="53"/>
        <v>5.8333333333333348</v>
      </c>
      <c r="E195" s="12">
        <v>5</v>
      </c>
      <c r="F195" s="12">
        <f>F190+((F196-F190)*(($D195-$D190)/($D196-$D190)))</f>
        <v>58.333333333333336</v>
      </c>
      <c r="H195" s="15"/>
      <c r="I195" s="12"/>
      <c r="J195" s="12"/>
    </row>
    <row r="196" spans="4:10" ht="14.5" customHeight="1" x14ac:dyDescent="0.35">
      <c r="D196" s="15">
        <f t="shared" si="53"/>
        <v>6.0000000000000018</v>
      </c>
      <c r="E196" s="12" t="s">
        <v>69</v>
      </c>
      <c r="F196" s="12">
        <v>60</v>
      </c>
      <c r="H196" s="15"/>
      <c r="I196" s="12"/>
      <c r="J196" s="12"/>
    </row>
    <row r="197" spans="4:10" ht="14.5" customHeight="1" x14ac:dyDescent="0.35">
      <c r="D197" s="15">
        <f>D196+(1/7)</f>
        <v>6.142857142857145</v>
      </c>
      <c r="E197" s="12">
        <v>6</v>
      </c>
      <c r="F197" s="12">
        <f>F196+((F203-F196)*(($D197-$D196)/($D203-$D196)))</f>
        <v>61.428571428571431</v>
      </c>
      <c r="H197" s="15"/>
      <c r="I197" s="12"/>
      <c r="J197" s="12"/>
    </row>
    <row r="198" spans="4:10" ht="14.5" customHeight="1" x14ac:dyDescent="0.35">
      <c r="D198" s="15">
        <f t="shared" ref="D198:D203" si="54">D197+(1/7)</f>
        <v>6.2857142857142883</v>
      </c>
      <c r="E198" s="12">
        <v>6</v>
      </c>
      <c r="F198" s="12">
        <f>F196+((F203-F196)*(($D198-$D196)/($D203-$D196)))</f>
        <v>62.857142857142854</v>
      </c>
      <c r="H198" s="15"/>
      <c r="I198" s="12"/>
      <c r="J198" s="12"/>
    </row>
    <row r="199" spans="4:10" ht="14.5" customHeight="1" x14ac:dyDescent="0.35">
      <c r="D199" s="15">
        <f t="shared" si="54"/>
        <v>6.4285714285714315</v>
      </c>
      <c r="E199" s="12">
        <v>6</v>
      </c>
      <c r="F199" s="12">
        <f>F196+((F203-F196)*(($D199-$D196)/($D203-$D196)))</f>
        <v>64.285714285714292</v>
      </c>
      <c r="H199" s="15"/>
      <c r="I199" s="12"/>
      <c r="J199" s="12"/>
    </row>
    <row r="200" spans="4:10" ht="14.5" customHeight="1" x14ac:dyDescent="0.35">
      <c r="D200" s="15">
        <f t="shared" si="54"/>
        <v>6.5714285714285747</v>
      </c>
      <c r="E200" s="12">
        <v>6</v>
      </c>
      <c r="F200" s="12">
        <f>F196+((F203-F196)*(($D200-$D196)/($D203-$D196)))</f>
        <v>65.714285714285708</v>
      </c>
      <c r="H200" s="15"/>
      <c r="I200" s="12"/>
      <c r="J200" s="12"/>
    </row>
    <row r="201" spans="4:10" ht="14.5" customHeight="1" x14ac:dyDescent="0.35">
      <c r="D201" s="15">
        <f t="shared" si="54"/>
        <v>6.714285714285718</v>
      </c>
      <c r="E201" s="12">
        <v>6</v>
      </c>
      <c r="F201" s="12">
        <f>F196+((F203-F196)*(($D201-$D196)/($D203-$D196)))</f>
        <v>67.142857142857139</v>
      </c>
      <c r="H201" s="15"/>
      <c r="I201" s="12"/>
      <c r="J201" s="12"/>
    </row>
    <row r="202" spans="4:10" ht="14.5" customHeight="1" x14ac:dyDescent="0.35">
      <c r="D202" s="15">
        <f t="shared" si="54"/>
        <v>6.8571428571428612</v>
      </c>
      <c r="E202" s="12">
        <v>6</v>
      </c>
      <c r="F202" s="12">
        <f>F196+((F203-F196)*(($D202-$D196)/($D203-$D196)))</f>
        <v>68.571428571428569</v>
      </c>
      <c r="H202" s="15"/>
      <c r="I202" s="12"/>
      <c r="J202" s="12"/>
    </row>
    <row r="203" spans="4:10" ht="14.5" customHeight="1" x14ac:dyDescent="0.35">
      <c r="D203" s="15">
        <f t="shared" si="54"/>
        <v>7.0000000000000044</v>
      </c>
      <c r="E203" s="12" t="s">
        <v>69</v>
      </c>
      <c r="F203" s="12">
        <v>70</v>
      </c>
      <c r="H203" s="15"/>
      <c r="I203" s="12"/>
      <c r="J203" s="12"/>
    </row>
    <row r="204" spans="4:10" ht="14.5" customHeight="1" x14ac:dyDescent="0.35">
      <c r="D204" s="15">
        <v>9</v>
      </c>
      <c r="E204" s="21" t="s">
        <v>69</v>
      </c>
      <c r="F204" s="21">
        <v>90</v>
      </c>
      <c r="H204" s="15"/>
    </row>
    <row r="205" spans="4:10" ht="14.5" customHeight="1" x14ac:dyDescent="0.35">
      <c r="D205" s="15">
        <f>D204+(1/11)</f>
        <v>9.0909090909090917</v>
      </c>
      <c r="E205" s="21">
        <v>10</v>
      </c>
      <c r="F205" s="12">
        <f>F204+((F215-F204)*(($D205-$D204)/($D215-$D204)))</f>
        <v>90.909090909090921</v>
      </c>
      <c r="H205" s="15"/>
      <c r="J205" s="12"/>
    </row>
    <row r="206" spans="4:10" ht="14.5" customHeight="1" x14ac:dyDescent="0.35">
      <c r="D206" s="15">
        <f t="shared" ref="D206:D214" si="55">D205+(1/11)</f>
        <v>9.1818181818181834</v>
      </c>
      <c r="E206" s="21">
        <v>10</v>
      </c>
      <c r="F206" s="12">
        <f>F204+((F215-F204)*(($D206-$D204)/($D215-$D204)))</f>
        <v>91.818181818181841</v>
      </c>
      <c r="H206" s="15"/>
      <c r="J206" s="12"/>
    </row>
    <row r="207" spans="4:10" ht="14.5" customHeight="1" x14ac:dyDescent="0.35">
      <c r="D207" s="15">
        <f t="shared" si="55"/>
        <v>9.2727272727272751</v>
      </c>
      <c r="E207" s="21">
        <v>10</v>
      </c>
      <c r="F207" s="12">
        <f>F204+((F215-F204)*(($D207-$D204)/($D215-$D204)))</f>
        <v>92.727272727272748</v>
      </c>
      <c r="H207" s="15"/>
      <c r="J207" s="12"/>
    </row>
    <row r="208" spans="4:10" ht="14.5" customHeight="1" x14ac:dyDescent="0.35">
      <c r="D208" s="15">
        <f t="shared" si="55"/>
        <v>9.3636363636363669</v>
      </c>
      <c r="E208" s="21">
        <v>10</v>
      </c>
      <c r="F208" s="12">
        <f>F204+((F215-F204)*(($D208-$D204)/($D215-$D204)))</f>
        <v>93.636363636363669</v>
      </c>
      <c r="H208" s="15"/>
      <c r="J208" s="12"/>
    </row>
    <row r="209" spans="4:10" ht="14.5" customHeight="1" x14ac:dyDescent="0.35">
      <c r="D209" s="15">
        <f t="shared" si="55"/>
        <v>9.4545454545454586</v>
      </c>
      <c r="E209" s="21">
        <v>10</v>
      </c>
      <c r="F209" s="12">
        <f>F204+((F215-F204)*(($D209-$D204)/($D215-$D204)))</f>
        <v>94.545454545454589</v>
      </c>
      <c r="H209" s="15"/>
      <c r="J209" s="12"/>
    </row>
    <row r="210" spans="4:10" ht="14.5" customHeight="1" x14ac:dyDescent="0.35">
      <c r="D210" s="15">
        <f t="shared" si="55"/>
        <v>9.5454545454545503</v>
      </c>
      <c r="E210" s="21">
        <v>10</v>
      </c>
      <c r="F210" s="12">
        <f>F204+((F215-F204)*(($D210-$D204)/($D215-$D204)))</f>
        <v>95.454545454545496</v>
      </c>
      <c r="H210" s="15"/>
      <c r="J210" s="12"/>
    </row>
    <row r="211" spans="4:10" ht="14.5" customHeight="1" x14ac:dyDescent="0.35">
      <c r="D211" s="15">
        <f t="shared" si="55"/>
        <v>9.636363636363642</v>
      </c>
      <c r="E211" s="21">
        <v>10</v>
      </c>
      <c r="F211" s="12">
        <f>F204+((F215-F204)*(($D211-$D204)/($D215-$D204)))</f>
        <v>96.363636363636417</v>
      </c>
      <c r="H211" s="15"/>
      <c r="J211" s="12"/>
    </row>
    <row r="212" spans="4:10" ht="14.5" customHeight="1" x14ac:dyDescent="0.35">
      <c r="D212" s="15">
        <f t="shared" si="55"/>
        <v>9.7272727272727337</v>
      </c>
      <c r="E212" s="21">
        <v>10</v>
      </c>
      <c r="F212" s="12">
        <f>F204+((F215-F204)*(($D212-$D204)/($D215-$D204)))</f>
        <v>97.272727272727337</v>
      </c>
      <c r="H212" s="15"/>
      <c r="J212" s="12"/>
    </row>
    <row r="213" spans="4:10" ht="14.5" customHeight="1" x14ac:dyDescent="0.35">
      <c r="D213" s="15">
        <f t="shared" si="55"/>
        <v>9.8181818181818254</v>
      </c>
      <c r="E213" s="21">
        <v>10</v>
      </c>
      <c r="F213" s="12">
        <f>F204+((F215-F204)*(($D213-$D204)/($D215-$D204)))</f>
        <v>98.181818181818258</v>
      </c>
      <c r="H213" s="15"/>
      <c r="J213" s="12"/>
    </row>
    <row r="214" spans="4:10" ht="14.5" customHeight="1" x14ac:dyDescent="0.35">
      <c r="D214" s="15">
        <f t="shared" si="55"/>
        <v>9.9090909090909172</v>
      </c>
      <c r="E214" s="21">
        <v>10</v>
      </c>
      <c r="F214" s="12">
        <f>F204+((F215-F204)*(($D214-$D204)/($D215-$D204)))</f>
        <v>99.090909090909179</v>
      </c>
      <c r="H214" s="15"/>
      <c r="J214" s="12"/>
    </row>
    <row r="215" spans="4:10" ht="14.5" customHeight="1" x14ac:dyDescent="0.35">
      <c r="D215" s="15">
        <v>10</v>
      </c>
      <c r="E215" s="21" t="s">
        <v>69</v>
      </c>
      <c r="F215" s="21">
        <v>100</v>
      </c>
      <c r="H215" s="15"/>
    </row>
  </sheetData>
  <printOptions horizontalCentered="1" gridLines="1"/>
  <pageMargins left="0.2" right="0.2" top="0.5" bottom="0.5" header="0.3" footer="0.3"/>
  <pageSetup scale="63" fitToHeight="0" orientation="portrait" r:id="rId1"/>
  <headerFooter>
    <oddHeader>&amp;L&amp;A&amp;R&amp;D &amp;T</oddHeader>
    <oddFooter>&amp;LPage &amp;P of &amp;N&amp;R&amp;Z&amp;F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1"/>
  <sheetViews>
    <sheetView workbookViewId="0">
      <selection activeCell="J20" sqref="J20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1</v>
      </c>
      <c r="F1" s="21" t="s">
        <v>15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5</v>
      </c>
      <c r="B3" s="21">
        <v>8</v>
      </c>
      <c r="C3" s="21">
        <f>A3+(B3/12)</f>
        <v>5.666666666666667</v>
      </c>
      <c r="D3" s="21">
        <v>0.32</v>
      </c>
      <c r="E3" s="21">
        <v>0.1</v>
      </c>
    </row>
    <row r="4" spans="1:6" ht="14.5" customHeight="1" x14ac:dyDescent="0.35">
      <c r="A4" s="21">
        <v>6</v>
      </c>
      <c r="B4" s="21">
        <v>8</v>
      </c>
      <c r="C4" s="21">
        <f>A4+(B4/12)</f>
        <v>6.666666666666667</v>
      </c>
      <c r="D4" s="21">
        <v>0.36</v>
      </c>
      <c r="E4" s="21">
        <v>0.63</v>
      </c>
    </row>
    <row r="5" spans="1:6" ht="14.5" customHeight="1" x14ac:dyDescent="0.35">
      <c r="A5" s="21">
        <v>8</v>
      </c>
      <c r="B5" s="21">
        <v>8</v>
      </c>
      <c r="C5" s="21">
        <f>A5+(B5/12)</f>
        <v>8.6666666666666661</v>
      </c>
      <c r="D5" s="21">
        <v>0.74</v>
      </c>
      <c r="E5" s="21">
        <v>1.05</v>
      </c>
    </row>
    <row r="6" spans="1:6" ht="14.5" customHeight="1" x14ac:dyDescent="0.35">
      <c r="A6" s="21">
        <v>13</v>
      </c>
      <c r="B6" s="21">
        <v>2</v>
      </c>
      <c r="C6" s="21">
        <f>A6+(B6/12)</f>
        <v>13.166666666666666</v>
      </c>
      <c r="D6" s="21">
        <v>0.74</v>
      </c>
      <c r="E6" s="21">
        <v>0.8</v>
      </c>
    </row>
    <row r="7" spans="1:6" ht="14.5" customHeight="1" x14ac:dyDescent="0.35">
      <c r="A7" s="21">
        <v>21</v>
      </c>
      <c r="B7" s="21">
        <v>6</v>
      </c>
      <c r="C7" s="21">
        <f>A7+(B7/12)</f>
        <v>21.5</v>
      </c>
      <c r="D7" s="21">
        <v>0.2</v>
      </c>
      <c r="E7" s="21">
        <v>0.35</v>
      </c>
    </row>
    <row r="8" spans="1:6" ht="14.5" customHeight="1" x14ac:dyDescent="0.35">
      <c r="A8" s="21">
        <v>25</v>
      </c>
      <c r="B8" s="21">
        <v>3</v>
      </c>
      <c r="C8" s="21">
        <f t="shared" ref="C8:C20" si="0">A8+(B8/12)</f>
        <v>25.25</v>
      </c>
      <c r="D8" s="21">
        <v>0.4</v>
      </c>
      <c r="E8" s="21">
        <v>1.45</v>
      </c>
    </row>
    <row r="9" spans="1:6" ht="14.5" customHeight="1" x14ac:dyDescent="0.35">
      <c r="A9" s="21">
        <v>27</v>
      </c>
      <c r="B9" s="21">
        <v>9</v>
      </c>
      <c r="C9" s="21">
        <f t="shared" si="0"/>
        <v>27.75</v>
      </c>
      <c r="D9" s="21">
        <v>0.3</v>
      </c>
      <c r="E9" s="21">
        <v>0.65</v>
      </c>
    </row>
    <row r="11" spans="1:6" ht="14.5" customHeight="1" x14ac:dyDescent="0.35">
      <c r="A11" s="21">
        <v>28</v>
      </c>
      <c r="B11" s="21">
        <v>3</v>
      </c>
      <c r="C11" s="21">
        <f t="shared" ref="C11" si="1">A11+(B11/12)</f>
        <v>28.25</v>
      </c>
      <c r="F11" s="21" t="s">
        <v>20</v>
      </c>
    </row>
    <row r="12" spans="1:6" ht="14.5" customHeight="1" x14ac:dyDescent="0.35">
      <c r="A12" s="21">
        <v>27</v>
      </c>
      <c r="B12" s="21">
        <v>4</v>
      </c>
      <c r="C12" s="21">
        <f t="shared" si="0"/>
        <v>27.333333333333332</v>
      </c>
      <c r="F12" s="21" t="s">
        <v>37</v>
      </c>
    </row>
    <row r="13" spans="1:6" ht="14.5" customHeight="1" x14ac:dyDescent="0.35">
      <c r="A13" s="21">
        <v>26</v>
      </c>
      <c r="B13" s="21">
        <v>0</v>
      </c>
      <c r="C13" s="21">
        <f t="shared" si="0"/>
        <v>26</v>
      </c>
      <c r="F13" s="21" t="s">
        <v>20</v>
      </c>
    </row>
    <row r="14" spans="1:6" ht="14.5" customHeight="1" x14ac:dyDescent="0.35">
      <c r="A14" s="21">
        <v>24</v>
      </c>
      <c r="B14" s="21">
        <v>5</v>
      </c>
      <c r="C14" s="21">
        <f t="shared" si="0"/>
        <v>24.416666666666668</v>
      </c>
      <c r="F14" s="21" t="s">
        <v>37</v>
      </c>
    </row>
    <row r="15" spans="1:6" ht="14.5" customHeight="1" x14ac:dyDescent="0.35">
      <c r="A15" s="21">
        <v>22</v>
      </c>
      <c r="B15" s="21">
        <v>3</v>
      </c>
      <c r="C15" s="21">
        <f t="shared" si="0"/>
        <v>22.25</v>
      </c>
      <c r="F15" s="21" t="s">
        <v>20</v>
      </c>
    </row>
    <row r="16" spans="1:6" ht="14.5" customHeight="1" x14ac:dyDescent="0.35">
      <c r="A16" s="21">
        <v>20</v>
      </c>
      <c r="B16" s="21">
        <v>2</v>
      </c>
      <c r="C16" s="21">
        <f t="shared" si="0"/>
        <v>20.166666666666668</v>
      </c>
      <c r="F16" s="21" t="s">
        <v>37</v>
      </c>
    </row>
    <row r="17" spans="1:6" ht="14.5" customHeight="1" x14ac:dyDescent="0.35">
      <c r="A17" s="21">
        <v>13</v>
      </c>
      <c r="B17" s="21">
        <v>8</v>
      </c>
      <c r="C17" s="21">
        <f t="shared" si="0"/>
        <v>13.666666666666666</v>
      </c>
      <c r="F17" s="21" t="s">
        <v>20</v>
      </c>
    </row>
    <row r="18" spans="1:6" ht="14.5" customHeight="1" x14ac:dyDescent="0.35">
      <c r="A18" s="21">
        <v>12</v>
      </c>
      <c r="B18" s="21">
        <v>0</v>
      </c>
      <c r="C18" s="21">
        <f t="shared" si="0"/>
        <v>12</v>
      </c>
      <c r="F18" s="21" t="s">
        <v>37</v>
      </c>
    </row>
    <row r="19" spans="1:6" ht="14.5" customHeight="1" x14ac:dyDescent="0.35">
      <c r="A19" s="21">
        <v>9</v>
      </c>
      <c r="B19" s="21">
        <v>8</v>
      </c>
      <c r="C19" s="21">
        <f t="shared" si="0"/>
        <v>9.6666666666666661</v>
      </c>
      <c r="F19" s="21" t="s">
        <v>20</v>
      </c>
    </row>
    <row r="20" spans="1:6" ht="14.5" customHeight="1" x14ac:dyDescent="0.35">
      <c r="A20" s="21">
        <v>5</v>
      </c>
      <c r="B20" s="21">
        <v>5</v>
      </c>
      <c r="C20" s="21">
        <f t="shared" si="0"/>
        <v>5.416666666666667</v>
      </c>
      <c r="F20" s="21" t="s">
        <v>37</v>
      </c>
    </row>
    <row r="23" spans="1:6" ht="14.5" customHeight="1" x14ac:dyDescent="0.35">
      <c r="A23" s="21" t="s">
        <v>1</v>
      </c>
      <c r="C23" s="35" t="s">
        <v>14</v>
      </c>
      <c r="D23" s="35"/>
      <c r="E23" s="21">
        <v>1</v>
      </c>
      <c r="F23" s="21" t="s">
        <v>15</v>
      </c>
    </row>
    <row r="24" spans="1:6" ht="14.5" customHeight="1" x14ac:dyDescent="0.35">
      <c r="A24" s="21" t="s">
        <v>8</v>
      </c>
      <c r="B24" s="21" t="s">
        <v>9</v>
      </c>
      <c r="C24" s="19" t="s">
        <v>13</v>
      </c>
      <c r="D24" s="19" t="s">
        <v>29</v>
      </c>
      <c r="E24" s="21" t="s">
        <v>7</v>
      </c>
      <c r="F24" s="21" t="s">
        <v>3</v>
      </c>
    </row>
    <row r="25" spans="1:6" ht="14.5" customHeight="1" x14ac:dyDescent="0.35">
      <c r="A25" s="21">
        <v>5</v>
      </c>
      <c r="B25" s="21">
        <v>5</v>
      </c>
      <c r="C25" s="21">
        <f t="shared" ref="C25" si="2">A25+(B25/12)</f>
        <v>5.416666666666667</v>
      </c>
      <c r="F25" s="21" t="s">
        <v>37</v>
      </c>
    </row>
    <row r="26" spans="1:6" ht="14.5" customHeight="1" x14ac:dyDescent="0.35">
      <c r="A26" s="21">
        <v>5</v>
      </c>
      <c r="B26" s="21">
        <v>8</v>
      </c>
      <c r="C26" s="21">
        <f t="shared" ref="C26:C31" si="3">A26+(B26/12)</f>
        <v>5.666666666666667</v>
      </c>
      <c r="D26" s="21">
        <v>0.32</v>
      </c>
      <c r="E26" s="21">
        <v>0.1</v>
      </c>
    </row>
    <row r="27" spans="1:6" ht="14.5" customHeight="1" x14ac:dyDescent="0.35">
      <c r="A27" s="21">
        <v>6</v>
      </c>
      <c r="B27" s="21">
        <v>8</v>
      </c>
      <c r="C27" s="21">
        <f t="shared" si="3"/>
        <v>6.666666666666667</v>
      </c>
      <c r="D27" s="21">
        <v>0.36</v>
      </c>
      <c r="E27" s="21">
        <v>0.63</v>
      </c>
    </row>
    <row r="28" spans="1:6" ht="14.5" customHeight="1" x14ac:dyDescent="0.35">
      <c r="A28" s="21">
        <v>8</v>
      </c>
      <c r="B28" s="21">
        <v>8</v>
      </c>
      <c r="C28" s="21">
        <f t="shared" si="3"/>
        <v>8.6666666666666661</v>
      </c>
      <c r="D28" s="21">
        <v>0.74</v>
      </c>
      <c r="E28" s="21">
        <v>1.05</v>
      </c>
    </row>
    <row r="29" spans="1:6" ht="14.5" customHeight="1" x14ac:dyDescent="0.35">
      <c r="A29" s="21">
        <v>9</v>
      </c>
      <c r="B29" s="21">
        <v>8</v>
      </c>
      <c r="C29" s="21">
        <f t="shared" si="3"/>
        <v>9.6666666666666661</v>
      </c>
      <c r="F29" s="21" t="s">
        <v>20</v>
      </c>
    </row>
    <row r="30" spans="1:6" ht="14.5" customHeight="1" x14ac:dyDescent="0.35">
      <c r="A30" s="21">
        <v>12</v>
      </c>
      <c r="B30" s="21">
        <v>0</v>
      </c>
      <c r="C30" s="21">
        <f t="shared" si="3"/>
        <v>12</v>
      </c>
      <c r="F30" s="21" t="s">
        <v>37</v>
      </c>
    </row>
    <row r="31" spans="1:6" ht="14.5" customHeight="1" x14ac:dyDescent="0.35">
      <c r="A31" s="21">
        <v>13</v>
      </c>
      <c r="B31" s="21">
        <v>2</v>
      </c>
      <c r="C31" s="21">
        <f t="shared" si="3"/>
        <v>13.166666666666666</v>
      </c>
      <c r="D31" s="21">
        <v>0.74</v>
      </c>
      <c r="E31" s="21">
        <v>0.8</v>
      </c>
    </row>
    <row r="32" spans="1:6" ht="14.5" customHeight="1" x14ac:dyDescent="0.35">
      <c r="A32" s="21">
        <v>13</v>
      </c>
      <c r="B32" s="21">
        <v>8</v>
      </c>
      <c r="C32" s="21">
        <f t="shared" ref="C32:C33" si="4">A32+(B32/12)</f>
        <v>13.666666666666666</v>
      </c>
      <c r="F32" s="21" t="s">
        <v>20</v>
      </c>
    </row>
    <row r="33" spans="1:6" ht="14.5" customHeight="1" x14ac:dyDescent="0.35">
      <c r="A33" s="21">
        <v>20</v>
      </c>
      <c r="B33" s="21">
        <v>2</v>
      </c>
      <c r="C33" s="21">
        <f t="shared" si="4"/>
        <v>20.166666666666668</v>
      </c>
      <c r="F33" s="21" t="s">
        <v>37</v>
      </c>
    </row>
    <row r="34" spans="1:6" ht="14.5" customHeight="1" x14ac:dyDescent="0.35">
      <c r="A34" s="21">
        <v>21</v>
      </c>
      <c r="B34" s="21">
        <v>6</v>
      </c>
      <c r="C34" s="21">
        <f>A34+(B34/12)</f>
        <v>21.5</v>
      </c>
      <c r="D34" s="21">
        <v>0.2</v>
      </c>
      <c r="E34" s="21">
        <v>0.35</v>
      </c>
    </row>
    <row r="35" spans="1:6" ht="14.5" customHeight="1" x14ac:dyDescent="0.35">
      <c r="A35" s="21">
        <v>22</v>
      </c>
      <c r="B35" s="21">
        <v>3</v>
      </c>
      <c r="C35" s="21">
        <f>A35+(B35/12)</f>
        <v>22.25</v>
      </c>
      <c r="F35" s="21" t="s">
        <v>20</v>
      </c>
    </row>
    <row r="36" spans="1:6" ht="14.5" customHeight="1" x14ac:dyDescent="0.35">
      <c r="A36" s="21">
        <v>24</v>
      </c>
      <c r="B36" s="21">
        <v>5</v>
      </c>
      <c r="C36" s="21">
        <f>A36+(B36/12)</f>
        <v>24.416666666666668</v>
      </c>
      <c r="F36" s="21" t="s">
        <v>37</v>
      </c>
    </row>
    <row r="37" spans="1:6" ht="14.5" customHeight="1" x14ac:dyDescent="0.35">
      <c r="A37" s="21">
        <v>25</v>
      </c>
      <c r="B37" s="21">
        <v>3</v>
      </c>
      <c r="C37" s="21">
        <f t="shared" ref="C37:C40" si="5">A37+(B37/12)</f>
        <v>25.25</v>
      </c>
      <c r="D37" s="21">
        <v>0.4</v>
      </c>
      <c r="E37" s="21">
        <v>1.45</v>
      </c>
    </row>
    <row r="38" spans="1:6" ht="14.5" customHeight="1" x14ac:dyDescent="0.35">
      <c r="A38" s="21">
        <v>26</v>
      </c>
      <c r="B38" s="21">
        <v>0</v>
      </c>
      <c r="C38" s="21">
        <f>A38+(B38/12)</f>
        <v>26</v>
      </c>
      <c r="F38" s="21" t="s">
        <v>20</v>
      </c>
    </row>
    <row r="39" spans="1:6" ht="14.5" customHeight="1" x14ac:dyDescent="0.35">
      <c r="A39" s="21">
        <v>27</v>
      </c>
      <c r="B39" s="21">
        <v>4</v>
      </c>
      <c r="C39" s="21">
        <f>A39+(B39/12)</f>
        <v>27.333333333333332</v>
      </c>
      <c r="F39" s="21" t="s">
        <v>37</v>
      </c>
    </row>
    <row r="40" spans="1:6" ht="14.5" customHeight="1" x14ac:dyDescent="0.35">
      <c r="A40" s="21">
        <v>27</v>
      </c>
      <c r="B40" s="21">
        <v>9</v>
      </c>
      <c r="C40" s="21">
        <f t="shared" si="5"/>
        <v>27.75</v>
      </c>
      <c r="D40" s="21">
        <v>0.3</v>
      </c>
      <c r="E40" s="21">
        <v>0.65</v>
      </c>
    </row>
    <row r="41" spans="1:6" ht="14.5" customHeight="1" x14ac:dyDescent="0.35">
      <c r="A41" s="21">
        <v>28</v>
      </c>
      <c r="B41" s="21">
        <v>3</v>
      </c>
      <c r="C41" s="21">
        <f>A41+(B41/12)</f>
        <v>28.25</v>
      </c>
      <c r="F41" s="21" t="s">
        <v>20</v>
      </c>
    </row>
  </sheetData>
  <mergeCells count="2">
    <mergeCell ref="C1:D1"/>
    <mergeCell ref="C23:D23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4"/>
  <sheetViews>
    <sheetView workbookViewId="0">
      <selection activeCell="C10" sqref="C10"/>
    </sheetView>
  </sheetViews>
  <sheetFormatPr defaultColWidth="8.7265625" defaultRowHeight="14.5" customHeight="1" x14ac:dyDescent="0.35"/>
  <cols>
    <col min="1" max="16384" width="8.7265625" style="21"/>
  </cols>
  <sheetData>
    <row r="1" spans="1:6" ht="14.5" customHeight="1" x14ac:dyDescent="0.35">
      <c r="A1" s="21" t="s">
        <v>1</v>
      </c>
      <c r="C1" s="35" t="s">
        <v>14</v>
      </c>
      <c r="D1" s="35"/>
      <c r="E1" s="21">
        <v>2</v>
      </c>
      <c r="F1" s="21" t="s">
        <v>16</v>
      </c>
    </row>
    <row r="2" spans="1:6" ht="14.5" customHeight="1" x14ac:dyDescent="0.35">
      <c r="A2" s="21" t="s">
        <v>8</v>
      </c>
      <c r="B2" s="21" t="s">
        <v>9</v>
      </c>
      <c r="C2" s="19" t="s">
        <v>13</v>
      </c>
      <c r="D2" s="19" t="s">
        <v>29</v>
      </c>
      <c r="E2" s="21" t="s">
        <v>7</v>
      </c>
      <c r="F2" s="21" t="s">
        <v>3</v>
      </c>
    </row>
    <row r="3" spans="1:6" ht="14.5" customHeight="1" x14ac:dyDescent="0.35">
      <c r="A3" s="21">
        <v>5</v>
      </c>
      <c r="B3" s="21">
        <v>2</v>
      </c>
      <c r="C3" s="21">
        <f>A3+(B3/12)</f>
        <v>5.166666666666667</v>
      </c>
      <c r="F3" s="21" t="s">
        <v>10</v>
      </c>
    </row>
    <row r="4" spans="1:6" ht="14.5" customHeight="1" x14ac:dyDescent="0.35">
      <c r="A4" s="21">
        <v>5</v>
      </c>
      <c r="B4" s="21">
        <v>5</v>
      </c>
      <c r="C4" s="21">
        <f>A4+(B4/12)</f>
        <v>5.416666666666667</v>
      </c>
      <c r="D4" s="21">
        <v>0.4</v>
      </c>
    </row>
    <row r="5" spans="1:6" ht="14.5" customHeight="1" x14ac:dyDescent="0.35">
      <c r="A5" s="21">
        <v>5</v>
      </c>
      <c r="B5" s="21">
        <v>8</v>
      </c>
      <c r="C5" s="21">
        <f>A5+(B5/12)</f>
        <v>5.666666666666667</v>
      </c>
      <c r="D5" s="21">
        <v>0.5</v>
      </c>
      <c r="E5" s="21">
        <v>-0.06</v>
      </c>
    </row>
    <row r="6" spans="1:6" ht="14.5" customHeight="1" x14ac:dyDescent="0.35">
      <c r="A6" s="21">
        <v>6</v>
      </c>
      <c r="B6" s="21">
        <v>8</v>
      </c>
      <c r="C6" s="21">
        <f>A6+(B6/12)</f>
        <v>6.666666666666667</v>
      </c>
      <c r="D6" s="21">
        <v>0.53</v>
      </c>
      <c r="E6" s="21">
        <v>0.79</v>
      </c>
    </row>
    <row r="7" spans="1:6" ht="14.5" customHeight="1" x14ac:dyDescent="0.35">
      <c r="A7" s="21">
        <v>8</v>
      </c>
      <c r="B7" s="21">
        <v>8</v>
      </c>
      <c r="C7" s="21">
        <f>A7+(B7/12)</f>
        <v>8.6666666666666661</v>
      </c>
      <c r="D7" s="21">
        <v>0.9</v>
      </c>
      <c r="E7" s="21">
        <v>1.36</v>
      </c>
    </row>
    <row r="8" spans="1:6" ht="14.5" customHeight="1" x14ac:dyDescent="0.35">
      <c r="A8" s="21">
        <v>11</v>
      </c>
      <c r="B8" s="21">
        <v>1</v>
      </c>
      <c r="C8" s="21">
        <f t="shared" ref="C8:C14" si="0">A8+(B8/12)</f>
        <v>11.083333333333334</v>
      </c>
      <c r="F8" s="21" t="s">
        <v>27</v>
      </c>
    </row>
    <row r="9" spans="1:6" ht="14.5" customHeight="1" x14ac:dyDescent="0.35">
      <c r="A9" s="21">
        <v>11</v>
      </c>
      <c r="B9" s="21">
        <v>3</v>
      </c>
      <c r="C9" s="21">
        <f t="shared" si="0"/>
        <v>11.25</v>
      </c>
      <c r="F9" s="21" t="s">
        <v>26</v>
      </c>
    </row>
    <row r="10" spans="1:6" ht="14.5" customHeight="1" x14ac:dyDescent="0.35">
      <c r="A10" s="21">
        <v>13</v>
      </c>
      <c r="B10" s="21">
        <v>2</v>
      </c>
      <c r="C10" s="21">
        <f t="shared" si="0"/>
        <v>13.166666666666666</v>
      </c>
      <c r="D10" s="21">
        <v>0.91</v>
      </c>
      <c r="E10" s="21">
        <v>0.97</v>
      </c>
    </row>
    <row r="11" spans="1:6" ht="14.5" customHeight="1" x14ac:dyDescent="0.35">
      <c r="A11" s="21">
        <v>21</v>
      </c>
      <c r="B11" s="21">
        <v>6</v>
      </c>
      <c r="C11" s="21">
        <f t="shared" si="0"/>
        <v>21.5</v>
      </c>
      <c r="D11" s="21">
        <v>0.5</v>
      </c>
      <c r="E11" s="21">
        <v>0.37</v>
      </c>
    </row>
    <row r="12" spans="1:6" ht="14.5" customHeight="1" x14ac:dyDescent="0.35">
      <c r="A12" s="21">
        <v>25</v>
      </c>
      <c r="B12" s="21">
        <v>3</v>
      </c>
      <c r="C12" s="21">
        <f t="shared" si="0"/>
        <v>25.25</v>
      </c>
      <c r="D12" s="21">
        <v>0.46</v>
      </c>
      <c r="E12" s="21">
        <v>0.25</v>
      </c>
    </row>
    <row r="13" spans="1:6" ht="14.5" customHeight="1" x14ac:dyDescent="0.35">
      <c r="A13" s="21">
        <v>27</v>
      </c>
      <c r="B13" s="21">
        <v>9</v>
      </c>
      <c r="C13" s="21">
        <f t="shared" si="0"/>
        <v>27.75</v>
      </c>
      <c r="D13" s="21">
        <v>0.5</v>
      </c>
      <c r="E13" s="21">
        <v>0.22</v>
      </c>
    </row>
    <row r="14" spans="1:6" ht="14.5" customHeight="1" x14ac:dyDescent="0.35">
      <c r="A14" s="21">
        <v>29</v>
      </c>
      <c r="B14" s="21">
        <v>1</v>
      </c>
      <c r="C14" s="21">
        <f t="shared" si="0"/>
        <v>29.083333333333332</v>
      </c>
      <c r="D14" s="21">
        <v>0.6</v>
      </c>
      <c r="F14" s="21" t="s">
        <v>28</v>
      </c>
    </row>
    <row r="34" spans="1:1" ht="14.5" customHeight="1" x14ac:dyDescent="0.35">
      <c r="A34" s="21" t="s">
        <v>0</v>
      </c>
    </row>
  </sheetData>
  <mergeCells count="1">
    <mergeCell ref="C1:D1"/>
  </mergeCells>
  <printOptions horizontalCentered="1" gridLines="1"/>
  <pageMargins left="0.2" right="0.2" top="0.5" bottom="0.5" header="0.3" footer="0.3"/>
  <pageSetup fitToHeight="0" orientation="portrait" r:id="rId1"/>
  <headerFooter>
    <oddHeader>&amp;L&amp;A&amp;R&amp;D &amp;T</oddHeader>
    <oddFooter>&amp;LPage &amp;P of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34</vt:i4>
      </vt:variant>
    </vt:vector>
  </HeadingPairs>
  <TitlesOfParts>
    <vt:vector size="56" baseType="lpstr">
      <vt:lpstr>Transect 2 Flow 3 (2)</vt:lpstr>
      <vt:lpstr>T1M</vt:lpstr>
      <vt:lpstr>T1F1</vt:lpstr>
      <vt:lpstr>T1F2</vt:lpstr>
      <vt:lpstr>T1F3</vt:lpstr>
      <vt:lpstr>T1F4</vt:lpstr>
      <vt:lpstr>T2M</vt:lpstr>
      <vt:lpstr>T2F1</vt:lpstr>
      <vt:lpstr>T2F2</vt:lpstr>
      <vt:lpstr>T2F3</vt:lpstr>
      <vt:lpstr>T2F4</vt:lpstr>
      <vt:lpstr>T3M</vt:lpstr>
      <vt:lpstr>T3F1</vt:lpstr>
      <vt:lpstr>T3F2</vt:lpstr>
      <vt:lpstr>T3F3</vt:lpstr>
      <vt:lpstr>T3F4</vt:lpstr>
      <vt:lpstr>T4M</vt:lpstr>
      <vt:lpstr>T4F1</vt:lpstr>
      <vt:lpstr>T4F2</vt:lpstr>
      <vt:lpstr>T4F3</vt:lpstr>
      <vt:lpstr>T4F4</vt:lpstr>
      <vt:lpstr>T2_tmp</vt:lpstr>
      <vt:lpstr>T1F1!Print_Titles</vt:lpstr>
      <vt:lpstr>T1F2!Print_Titles</vt:lpstr>
      <vt:lpstr>T1F3!Print_Titles</vt:lpstr>
      <vt:lpstr>T1F4!Print_Titles</vt:lpstr>
      <vt:lpstr>T1M!Print_Titles</vt:lpstr>
      <vt:lpstr>T2F1!Print_Titles</vt:lpstr>
      <vt:lpstr>T2F2!Print_Titles</vt:lpstr>
      <vt:lpstr>T2F3!Print_Titles</vt:lpstr>
      <vt:lpstr>T2F4!Print_Titles</vt:lpstr>
      <vt:lpstr>T3F1!Print_Titles</vt:lpstr>
      <vt:lpstr>T3F2!Print_Titles</vt:lpstr>
      <vt:lpstr>T3F3!Print_Titles</vt:lpstr>
      <vt:lpstr>T3F4!Print_Titles</vt:lpstr>
      <vt:lpstr>T4F1!Print_Titles</vt:lpstr>
      <vt:lpstr>T4F2!Print_Titles</vt:lpstr>
      <vt:lpstr>T4F3!Print_Titles</vt:lpstr>
      <vt:lpstr>T4F4!Print_Titles</vt:lpstr>
      <vt:lpstr>'Transect 2 Flow 3 (2)'!Print_Titles</vt:lpstr>
      <vt:lpstr>T1F1_Flat_Level</vt:lpstr>
      <vt:lpstr>T1F2_Flat_Level</vt:lpstr>
      <vt:lpstr>T1F3_Flat_Level</vt:lpstr>
      <vt:lpstr>T1F4_Flat_Level</vt:lpstr>
      <vt:lpstr>T2F1_Flat_Level</vt:lpstr>
      <vt:lpstr>T2F2_Flat_Level</vt:lpstr>
      <vt:lpstr>T2F3_Flat_Level</vt:lpstr>
      <vt:lpstr>T2F4_Flat_Level</vt:lpstr>
      <vt:lpstr>T3F1_Flat_Level</vt:lpstr>
      <vt:lpstr>T3F2_Flat_Level</vt:lpstr>
      <vt:lpstr>T3F3_Flat_Level</vt:lpstr>
      <vt:lpstr>T3F4_Flat_Level</vt:lpstr>
      <vt:lpstr>T4F1_Flat_Level</vt:lpstr>
      <vt:lpstr>T4f2_Flat_Level</vt:lpstr>
      <vt:lpstr>T4f3_Flat_Level</vt:lpstr>
      <vt:lpstr>T4F4_Flat_Level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Bert</cp:lastModifiedBy>
  <cp:lastPrinted>2021-01-12T17:48:50Z</cp:lastPrinted>
  <dcterms:created xsi:type="dcterms:W3CDTF">2020-12-11T16:06:18Z</dcterms:created>
  <dcterms:modified xsi:type="dcterms:W3CDTF">2021-03-01T22:11:46Z</dcterms:modified>
</cp:coreProperties>
</file>